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defaultThemeVersion="124226"/>
  <workbookProtection workbookPassword="D9D7" lockStructure="1"/>
  <bookViews>
    <workbookView xWindow="10310" yWindow="110" windowWidth="10190" windowHeight="7790"/>
  </bookViews>
  <sheets>
    <sheet name="Energy Estimator" sheetId="5" r:id="rId1"/>
    <sheet name="Calcs" sheetId="2" state="hidden" r:id="rId2"/>
    <sheet name="Bills" sheetId="1" state="hidden" r:id="rId3"/>
    <sheet name="data" sheetId="3" state="hidden" r:id="rId4"/>
    <sheet name="Multiple_Non Hyper" sheetId="8" r:id="rId5"/>
    <sheet name="Multiple_Hyper Ht" sheetId="10" r:id="rId6"/>
    <sheet name="Weather" sheetId="6" state="hidden" r:id="rId7"/>
    <sheet name="$ per Btu" sheetId="7" state="hidden" r:id="rId8"/>
    <sheet name="Displaced" sheetId="11" r:id="rId9"/>
    <sheet name="Multiplier (2)" sheetId="12" state="hidden" r:id="rId10"/>
    <sheet name="Temp Corr" sheetId="13" state="hidden" r:id="rId11"/>
    <sheet name="Test PLR" sheetId="14" state="hidden" r:id="rId12"/>
  </sheets>
  <definedNames>
    <definedName name="balance">'Temp Corr'!$AT$84:$CJ$283</definedName>
    <definedName name="binavg">Weather!$C$3:$C$33</definedName>
    <definedName name="btu">'$ per Btu'!$A$2:$G$9</definedName>
    <definedName name="buh">Calcs!$B$49</definedName>
    <definedName name="BUT">'Energy Estimator'!$I$26</definedName>
    <definedName name="CA">Weather!$BQ$3:$BY$3</definedName>
    <definedName name="CO">Weather!$CD$3:$CG$3</definedName>
    <definedName name="cool_load">'Energy Estimator'!$F$14</definedName>
    <definedName name="cool_percent">'Energy Estimator'!$F$16</definedName>
    <definedName name="cool_type">data!$Z$2:$AA$4</definedName>
    <definedName name="cooling">'Energy Estimator'!$F$13</definedName>
    <definedName name="cooling_select">data!$Z$2:$Z$4</definedName>
    <definedName name="cop_17">Calcs!$S$13</definedName>
    <definedName name="cop_47">Calcs!$S$12</definedName>
    <definedName name="cop_5">Calcs!$S$14</definedName>
    <definedName name="cop_95">Calcs!$S$15</definedName>
    <definedName name="cop_seer">Calcs!$S$16</definedName>
    <definedName name="CT">Weather!$D$3:$E$3</definedName>
    <definedName name="data">data!$A$2:$Q$73</definedName>
    <definedName name="DE">Weather!$F$3:$G$3</definedName>
    <definedName name="eff">data!$R$2:$X$36</definedName>
    <definedName name="elect_rate">'Energy Estimator'!$F$22</definedName>
    <definedName name="exist_heat">'Energy Estimator'!$F$9</definedName>
    <definedName name="FL">Weather!$BK$3</definedName>
    <definedName name="fuel">data!$R$2:$X$2</definedName>
    <definedName name="fuel_select">data!$T$2:$X$2</definedName>
    <definedName name="GA">Weather!$BL$3</definedName>
    <definedName name="gas_rate">'Energy Estimator'!$I$22</definedName>
    <definedName name="H2i_cool">data!$B$73</definedName>
    <definedName name="h2i_heat">data!$C$73</definedName>
    <definedName name="heat_load">'Energy Estimator'!$F$10</definedName>
    <definedName name="heat_pump">'Energy Estimator'!$H$11</definedName>
    <definedName name="HP_BU">'Energy Estimator'!$I$9</definedName>
    <definedName name="HP_T">Calcs!$B$54:$B$62</definedName>
    <definedName name="IA">Weather!$AO$3</definedName>
    <definedName name="ID">Weather!$CH$3:$CI$3</definedName>
    <definedName name="IL">Weather!$AP$3:$AQ$3</definedName>
    <definedName name="IN">Weather!$BH$3:$BJ$3</definedName>
    <definedName name="KS">Weather!$CL$3:$CN$3</definedName>
    <definedName name="KY">Weather!$AM$3:$AN$3</definedName>
    <definedName name="loadcorr">'Temp Corr'!$A$84:$AR$282</definedName>
    <definedName name="loc">Weather!$D$1:$CZ$2</definedName>
    <definedName name="Local">'Energy Estimator'!$H$7</definedName>
    <definedName name="MA">Weather!$H$3:$K$3</definedName>
    <definedName name="mbtu">Calcs!$J$35</definedName>
    <definedName name="mbtu_cool">Calcs!$O$35</definedName>
    <definedName name="mbtu_heat">Calcs!$J$35</definedName>
    <definedName name="MBTUHP">Calcs!$B$48</definedName>
    <definedName name="ME">Weather!$L$3:$N$3</definedName>
    <definedName name="me_unit">'Energy Estimator'!$F$24</definedName>
    <definedName name="MI">Weather!$AR$3:$AU$3</definedName>
    <definedName name="MN">Weather!$AV$3:$AW$3</definedName>
    <definedName name="MO">Weather!$CO$3:$CQ$3</definedName>
    <definedName name="MSZ_GE09NA2">'Temp Corr'!#REF!</definedName>
    <definedName name="MSZ_GE12NA2">'Temp Corr'!#REF!</definedName>
    <definedName name="MSZ_GE15NA2">'Temp Corr'!#REF!</definedName>
    <definedName name="MSZ_GE18NA_1">'Temp Corr'!#REF!</definedName>
    <definedName name="MSZ_GE24NA">'Temp Corr'!#REF!</definedName>
    <definedName name="MSZ_GL09NA_U1">'Temp Corr'!#REF!</definedName>
    <definedName name="MSZ_GL12NA_U1">'Temp Corr'!#REF!</definedName>
    <definedName name="MSZ_GL15NA_U1">'Temp Corr'!#REF!</definedName>
    <definedName name="MSZ_GL18NA_U1">'Temp Corr'!#REF!</definedName>
    <definedName name="MSZ_GL24NA_U1">'Temp Corr'!#REF!</definedName>
    <definedName name="MT">Weather!$CJ$3:$CK$3</definedName>
    <definedName name="Multiple_H2i">Displaced!#REF!</definedName>
    <definedName name="Multiple_Non_H2i">'Temp Corr'!#REF!</definedName>
    <definedName name="MUZ_FH06NA">Displaced!#REF!</definedName>
    <definedName name="MUZ_FH09NA">Displaced!#REF!</definedName>
    <definedName name="MUZ_FH12NA">Displaced!#REF!</definedName>
    <definedName name="MUZ_FH15NA">Displaced!#REF!</definedName>
    <definedName name="MUZ_FH18NA2">Displaced!#REF!</definedName>
    <definedName name="MXZ_2B20NA">'Temp Corr'!#REF!</definedName>
    <definedName name="MXZ_2C20NAHZ">Displaced!#REF!</definedName>
    <definedName name="MXZ_3C24NA">'Temp Corr'!#REF!</definedName>
    <definedName name="MXZ_3C24NAHZ">Displaced!#REF!</definedName>
    <definedName name="MXZ_3C30NA">'Temp Corr'!#REF!</definedName>
    <definedName name="MXZ_3C30NAHZ">Displaced!#REF!</definedName>
    <definedName name="MXZ_4C36NA">'Temp Corr'!#REF!</definedName>
    <definedName name="MXZ_4C36NAHZ">Displaced!#REF!</definedName>
    <definedName name="MXZ_5C42NA">'Temp Corr'!#REF!</definedName>
    <definedName name="MXZ_5C42NAHZ">Displaced!#REF!</definedName>
    <definedName name="MXZ_8C48NA">'Temp Corr'!#REF!</definedName>
    <definedName name="MXZ_8C48NAHZ">Displaced!#REF!</definedName>
    <definedName name="NC">Weather!$BM$3</definedName>
    <definedName name="ND">Weather!$AX$3</definedName>
    <definedName name="NE">Weather!$AY$3:$AZ$3</definedName>
    <definedName name="NH">Weather!$O$3:$Q$3</definedName>
    <definedName name="NJ">Weather!$R$3:$T$3</definedName>
    <definedName name="NM">Weather!$CR$3:$CT$3</definedName>
    <definedName name="non_table">'Temp Corr'!$A$2:$G$45</definedName>
    <definedName name="nondisplaced">'Temp Corr'!$AZ$50:$CP$82</definedName>
    <definedName name="NY">Weather!$U$3:$AC$3</definedName>
    <definedName name="OH">Weather!$BA$3:$BC$3</definedName>
    <definedName name="oil_rate">'Energy Estimator'!$G$22</definedName>
    <definedName name="OR">Weather!$CA$3:$CC$3</definedName>
    <definedName name="PA">Weather!$AD$3:$AI$3</definedName>
    <definedName name="per_btu">'$ per Btu'!$A$2:$G$9</definedName>
    <definedName name="pro_rate">'Energy Estimator'!$H$22</definedName>
    <definedName name="rated_cool">'Energy Estimator'!$F$25</definedName>
    <definedName name="rated_heat">'Energy Estimator'!$F$26</definedName>
    <definedName name="RI">Weather!$AJ$3</definedName>
    <definedName name="SD">Weather!$BD$3:$BE$3</definedName>
    <definedName name="SDT">Calcs!$C$2</definedName>
    <definedName name="St">'Energy Estimator'!$F$7</definedName>
    <definedName name="state">Weather!$A$39:$A$72</definedName>
    <definedName name="SUZ_KA09NA">'Temp Corr'!#REF!</definedName>
    <definedName name="SUZ_KA12NA">'Temp Corr'!#REF!</definedName>
    <definedName name="SUZ_KA15NA">'Temp Corr'!#REF!</definedName>
    <definedName name="SUZ_KD09NA4">'Temp Corr'!#REF!</definedName>
    <definedName name="SUZ_KD12NA4">'Temp Corr'!#REF!</definedName>
    <definedName name="SUZ_KD15NA4">'Temp Corr'!#REF!</definedName>
    <definedName name="SUZ_KD18NA4">'Temp Corr'!#REF!</definedName>
    <definedName name="system_loss_selected">'Energy Estimator'!$F$18</definedName>
    <definedName name="system_loss_table">data!$Z$7:$AA$11</definedName>
    <definedName name="top">data!$A$2:$Q$2</definedName>
    <definedName name="total_value">Calcs!$I$37:$AG$37</definedName>
    <definedName name="totals">Calcs!$I$37:$AG$43</definedName>
    <definedName name="TX">Weather!$CU$3:$CY$3</definedName>
    <definedName name="type">Calcs!$I$37:$I$43</definedName>
    <definedName name="unit">data!$A$2:$A$73</definedName>
    <definedName name="unit_select">data!$A$3:$A$73</definedName>
    <definedName name="VT">Weather!$AK$3:$AL$3</definedName>
    <definedName name="WA">Weather!$BN$3:$BP$3</definedName>
    <definedName name="WDT">Calcs!$C$3</definedName>
    <definedName name="weather">Weather!$D$3:$CZ$35</definedName>
    <definedName name="WI">Weather!$BF$3:$BG$3</definedName>
    <definedName name="year">data!$R$2:$R$36</definedName>
    <definedName name="year_cooling">'Energy Estimator'!$F$15</definedName>
    <definedName name="year_heating">'Energy Estimator'!$F$11</definedName>
    <definedName name="yes_no">Calcs!$Z$32:$Z$33</definedName>
  </definedNames>
  <calcPr calcId="145621"/>
</workbook>
</file>

<file path=xl/calcChain.xml><?xml version="1.0" encoding="utf-8"?>
<calcChain xmlns="http://schemas.openxmlformats.org/spreadsheetml/2006/main">
  <c r="AA31" i="2" l="1"/>
  <c r="AP34" i="10"/>
  <c r="AG34" i="10"/>
  <c r="AQ34" i="10"/>
  <c r="AF34" i="10"/>
  <c r="Q34" i="10"/>
  <c r="A34" i="10"/>
  <c r="B8" i="10"/>
  <c r="C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AE8" i="10" s="1"/>
  <c r="R8" i="10"/>
  <c r="S8" i="10"/>
  <c r="AH8" i="10" s="1"/>
  <c r="T8" i="10"/>
  <c r="U8" i="10"/>
  <c r="AJ8" i="10" s="1"/>
  <c r="V8" i="10"/>
  <c r="W8" i="10"/>
  <c r="AL8" i="10" s="1"/>
  <c r="X8" i="10"/>
  <c r="Y8" i="10"/>
  <c r="AN8" i="10" s="1"/>
  <c r="Z8" i="10"/>
  <c r="AA8" i="10"/>
  <c r="AP8" i="10" s="1"/>
  <c r="AB8" i="10"/>
  <c r="AC8" i="10"/>
  <c r="AR8" i="10" s="1"/>
  <c r="AD8" i="10"/>
  <c r="AG8" i="10"/>
  <c r="AQ8" i="10"/>
  <c r="B9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AE9" i="10" s="1"/>
  <c r="R9" i="10"/>
  <c r="S9" i="10"/>
  <c r="T9" i="10"/>
  <c r="U9" i="10"/>
  <c r="AJ9" i="10" s="1"/>
  <c r="V9" i="10"/>
  <c r="W9" i="10"/>
  <c r="X9" i="10"/>
  <c r="Y9" i="10"/>
  <c r="AN9" i="10" s="1"/>
  <c r="Z9" i="10"/>
  <c r="AA9" i="10"/>
  <c r="AP9" i="10" s="1"/>
  <c r="AB9" i="10"/>
  <c r="AC9" i="10"/>
  <c r="AR9" i="10" s="1"/>
  <c r="AD9" i="10"/>
  <c r="AG9" i="10"/>
  <c r="AQ9" i="10"/>
  <c r="B10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AE10" i="10" s="1"/>
  <c r="R10" i="10"/>
  <c r="S10" i="10"/>
  <c r="T10" i="10"/>
  <c r="U10" i="10"/>
  <c r="AJ10" i="10" s="1"/>
  <c r="V10" i="10"/>
  <c r="W10" i="10"/>
  <c r="X10" i="10"/>
  <c r="Y10" i="10"/>
  <c r="AN10" i="10" s="1"/>
  <c r="Z10" i="10"/>
  <c r="AA10" i="10"/>
  <c r="AP10" i="10" s="1"/>
  <c r="AB10" i="10"/>
  <c r="AC10" i="10"/>
  <c r="AR10" i="10" s="1"/>
  <c r="AD10" i="10"/>
  <c r="AG10" i="10"/>
  <c r="AQ10" i="10"/>
  <c r="B11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AE11" i="10" s="1"/>
  <c r="R11" i="10"/>
  <c r="S11" i="10"/>
  <c r="T11" i="10"/>
  <c r="U11" i="10"/>
  <c r="AJ11" i="10" s="1"/>
  <c r="V11" i="10"/>
  <c r="W11" i="10"/>
  <c r="X11" i="10"/>
  <c r="Y11" i="10"/>
  <c r="AN11" i="10" s="1"/>
  <c r="Z11" i="10"/>
  <c r="AA11" i="10"/>
  <c r="AP11" i="10" s="1"/>
  <c r="AB11" i="10"/>
  <c r="AC11" i="10"/>
  <c r="AR11" i="10" s="1"/>
  <c r="AD11" i="10"/>
  <c r="AG11" i="10"/>
  <c r="AQ11" i="10"/>
  <c r="A46" i="8"/>
  <c r="S37" i="8"/>
  <c r="T37" i="8"/>
  <c r="U37" i="8"/>
  <c r="V37" i="8"/>
  <c r="W37" i="8"/>
  <c r="X37" i="8"/>
  <c r="Y37" i="8"/>
  <c r="Z37" i="8"/>
  <c r="AA37" i="8"/>
  <c r="AB37" i="8"/>
  <c r="AQ37" i="8" s="1"/>
  <c r="AC37" i="8"/>
  <c r="AD37" i="8"/>
  <c r="AP37" i="8"/>
  <c r="R38" i="8"/>
  <c r="AG38" i="8" s="1"/>
  <c r="S38" i="8"/>
  <c r="T38" i="8"/>
  <c r="U38" i="8"/>
  <c r="V38" i="8"/>
  <c r="W38" i="8"/>
  <c r="X38" i="8"/>
  <c r="Y38" i="8"/>
  <c r="Z38" i="8"/>
  <c r="AA38" i="8"/>
  <c r="AP38" i="8" s="1"/>
  <c r="AB38" i="8"/>
  <c r="AC38" i="8"/>
  <c r="AD38" i="8"/>
  <c r="AQ38" i="8"/>
  <c r="S39" i="8"/>
  <c r="T39" i="8"/>
  <c r="U39" i="8"/>
  <c r="V39" i="8"/>
  <c r="W39" i="8"/>
  <c r="X39" i="8"/>
  <c r="Y39" i="8"/>
  <c r="Z39" i="8"/>
  <c r="AA39" i="8"/>
  <c r="AB39" i="8"/>
  <c r="AQ39" i="8" s="1"/>
  <c r="AC39" i="8"/>
  <c r="AD39" i="8"/>
  <c r="AP39" i="8"/>
  <c r="S40" i="8"/>
  <c r="T40" i="8"/>
  <c r="U40" i="8"/>
  <c r="V40" i="8"/>
  <c r="W40" i="8"/>
  <c r="X40" i="8"/>
  <c r="Y40" i="8"/>
  <c r="Z40" i="8"/>
  <c r="AA40" i="8"/>
  <c r="AP40" i="8" s="1"/>
  <c r="AB40" i="8"/>
  <c r="AQ40" i="8" s="1"/>
  <c r="AC40" i="8"/>
  <c r="AD40" i="8"/>
  <c r="R41" i="8"/>
  <c r="AG41" i="8" s="1"/>
  <c r="S41" i="8"/>
  <c r="T41" i="8"/>
  <c r="U41" i="8"/>
  <c r="V41" i="8"/>
  <c r="W41" i="8"/>
  <c r="X41" i="8"/>
  <c r="Y41" i="8"/>
  <c r="Z41" i="8"/>
  <c r="AA41" i="8"/>
  <c r="AB41" i="8"/>
  <c r="AQ41" i="8" s="1"/>
  <c r="AC41" i="8"/>
  <c r="AD41" i="8"/>
  <c r="AP41" i="8"/>
  <c r="S42" i="8"/>
  <c r="T42" i="8"/>
  <c r="U42" i="8"/>
  <c r="V42" i="8"/>
  <c r="W42" i="8"/>
  <c r="X42" i="8"/>
  <c r="Y42" i="8"/>
  <c r="Z42" i="8"/>
  <c r="AA42" i="8"/>
  <c r="AP42" i="8" s="1"/>
  <c r="AB42" i="8"/>
  <c r="AQ42" i="8" s="1"/>
  <c r="AC42" i="8"/>
  <c r="AD42" i="8"/>
  <c r="S43" i="8"/>
  <c r="T43" i="8"/>
  <c r="U43" i="8"/>
  <c r="V43" i="8"/>
  <c r="W43" i="8"/>
  <c r="X43" i="8"/>
  <c r="Y43" i="8"/>
  <c r="Z43" i="8"/>
  <c r="AA43" i="8"/>
  <c r="AB43" i="8"/>
  <c r="AQ43" i="8" s="1"/>
  <c r="AC43" i="8"/>
  <c r="AD43" i="8"/>
  <c r="AP43" i="8"/>
  <c r="S44" i="8"/>
  <c r="T44" i="8"/>
  <c r="U44" i="8"/>
  <c r="V44" i="8"/>
  <c r="W44" i="8"/>
  <c r="X44" i="8"/>
  <c r="Y44" i="8"/>
  <c r="Z44" i="8"/>
  <c r="AA44" i="8"/>
  <c r="AP44" i="8" s="1"/>
  <c r="AB44" i="8"/>
  <c r="AQ44" i="8" s="1"/>
  <c r="AC44" i="8"/>
  <c r="AD44" i="8"/>
  <c r="B32" i="8"/>
  <c r="B33" i="8"/>
  <c r="B34" i="8"/>
  <c r="B35" i="8"/>
  <c r="B36" i="8"/>
  <c r="B37" i="8"/>
  <c r="B38" i="8"/>
  <c r="B39" i="8"/>
  <c r="B40" i="8"/>
  <c r="B41" i="8"/>
  <c r="B42" i="8"/>
  <c r="B43" i="8"/>
  <c r="E37" i="8"/>
  <c r="H37" i="8"/>
  <c r="I37" i="8"/>
  <c r="J37" i="8"/>
  <c r="K37" i="8"/>
  <c r="L37" i="8"/>
  <c r="O37" i="8"/>
  <c r="P37" i="8"/>
  <c r="C38" i="8"/>
  <c r="Q38" i="8" s="1"/>
  <c r="D38" i="8"/>
  <c r="E38" i="8"/>
  <c r="H38" i="8"/>
  <c r="I38" i="8"/>
  <c r="J38" i="8"/>
  <c r="K38" i="8"/>
  <c r="L38" i="8"/>
  <c r="M38" i="8"/>
  <c r="N38" i="8"/>
  <c r="O38" i="8"/>
  <c r="P38" i="8"/>
  <c r="C39" i="8"/>
  <c r="Q39" i="8" s="1"/>
  <c r="D39" i="8"/>
  <c r="R39" i="8" s="1"/>
  <c r="AG39" i="8" s="1"/>
  <c r="E39" i="8"/>
  <c r="H39" i="8"/>
  <c r="I39" i="8"/>
  <c r="J39" i="8"/>
  <c r="K39" i="8"/>
  <c r="L39" i="8"/>
  <c r="O39" i="8"/>
  <c r="P39" i="8"/>
  <c r="E40" i="8"/>
  <c r="H40" i="8"/>
  <c r="I40" i="8"/>
  <c r="J40" i="8"/>
  <c r="K40" i="8"/>
  <c r="L40" i="8"/>
  <c r="O40" i="8"/>
  <c r="P40" i="8"/>
  <c r="C41" i="8"/>
  <c r="Q41" i="8" s="1"/>
  <c r="D41" i="8"/>
  <c r="E41" i="8"/>
  <c r="H41" i="8"/>
  <c r="I41" i="8"/>
  <c r="J41" i="8"/>
  <c r="K41" i="8"/>
  <c r="L41" i="8"/>
  <c r="M41" i="8"/>
  <c r="N41" i="8"/>
  <c r="O41" i="8"/>
  <c r="P41" i="8"/>
  <c r="C42" i="8"/>
  <c r="Q42" i="8" s="1"/>
  <c r="D42" i="8"/>
  <c r="R42" i="8" s="1"/>
  <c r="AG42" i="8" s="1"/>
  <c r="E42" i="8"/>
  <c r="H42" i="8"/>
  <c r="I42" i="8"/>
  <c r="J42" i="8"/>
  <c r="K42" i="8"/>
  <c r="L42" i="8"/>
  <c r="O42" i="8"/>
  <c r="P42" i="8"/>
  <c r="E43" i="8"/>
  <c r="H43" i="8"/>
  <c r="I43" i="8"/>
  <c r="J43" i="8"/>
  <c r="K43" i="8"/>
  <c r="L43" i="8"/>
  <c r="O43" i="8"/>
  <c r="P43" i="8"/>
  <c r="B44" i="8"/>
  <c r="C44" i="8"/>
  <c r="Q44" i="8" s="1"/>
  <c r="D44" i="8"/>
  <c r="R44" i="8" s="1"/>
  <c r="AG44" i="8" s="1"/>
  <c r="E44" i="8"/>
  <c r="H44" i="8"/>
  <c r="I44" i="8"/>
  <c r="J44" i="8"/>
  <c r="K44" i="8"/>
  <c r="L44" i="8"/>
  <c r="M44" i="8"/>
  <c r="N44" i="8"/>
  <c r="O44" i="8"/>
  <c r="P44" i="8"/>
  <c r="P36" i="8"/>
  <c r="O36" i="8"/>
  <c r="C36" i="8"/>
  <c r="D36" i="8"/>
  <c r="R36" i="8" s="1"/>
  <c r="AG36" i="8" s="1"/>
  <c r="E36" i="8"/>
  <c r="H36" i="8"/>
  <c r="I36" i="8"/>
  <c r="J36" i="8"/>
  <c r="K36" i="8"/>
  <c r="L36" i="8"/>
  <c r="Q36" i="8"/>
  <c r="AF36" i="8" s="1"/>
  <c r="S36" i="8"/>
  <c r="T36" i="8"/>
  <c r="U36" i="8"/>
  <c r="V36" i="8"/>
  <c r="W36" i="8"/>
  <c r="X36" i="8"/>
  <c r="Y36" i="8"/>
  <c r="Z36" i="8"/>
  <c r="AA36" i="8"/>
  <c r="AB36" i="8"/>
  <c r="AQ36" i="8" s="1"/>
  <c r="AC36" i="8"/>
  <c r="AD36" i="8"/>
  <c r="AP36" i="8"/>
  <c r="C34" i="8"/>
  <c r="Q34" i="8" s="1"/>
  <c r="AE34" i="8" s="1"/>
  <c r="D34" i="8"/>
  <c r="R34" i="8" s="1"/>
  <c r="AG34" i="8" s="1"/>
  <c r="E34" i="8"/>
  <c r="F34" i="8"/>
  <c r="H34" i="8"/>
  <c r="I34" i="8"/>
  <c r="J34" i="8"/>
  <c r="K34" i="8"/>
  <c r="L34" i="8"/>
  <c r="M34" i="8"/>
  <c r="N34" i="8"/>
  <c r="O34" i="8"/>
  <c r="P34" i="8"/>
  <c r="S34" i="8"/>
  <c r="T34" i="8"/>
  <c r="U34" i="8"/>
  <c r="V34" i="8"/>
  <c r="W34" i="8"/>
  <c r="X34" i="8"/>
  <c r="Y34" i="8"/>
  <c r="Z34" i="8"/>
  <c r="AA34" i="8"/>
  <c r="AP34" i="8" s="1"/>
  <c r="AB34" i="8"/>
  <c r="AQ34" i="8" s="1"/>
  <c r="AC34" i="8"/>
  <c r="AD34" i="8"/>
  <c r="C35" i="8"/>
  <c r="Q35" i="8" s="1"/>
  <c r="AE35" i="8" s="1"/>
  <c r="D35" i="8"/>
  <c r="R35" i="8" s="1"/>
  <c r="AG35" i="8" s="1"/>
  <c r="E35" i="8"/>
  <c r="F35" i="8"/>
  <c r="H35" i="8"/>
  <c r="I35" i="8"/>
  <c r="J35" i="8"/>
  <c r="K35" i="8"/>
  <c r="L35" i="8"/>
  <c r="M35" i="8"/>
  <c r="N35" i="8"/>
  <c r="O35" i="8"/>
  <c r="P35" i="8"/>
  <c r="S35" i="8"/>
  <c r="T35" i="8"/>
  <c r="U35" i="8"/>
  <c r="V35" i="8"/>
  <c r="W35" i="8"/>
  <c r="X35" i="8"/>
  <c r="Y35" i="8"/>
  <c r="Z35" i="8"/>
  <c r="AA35" i="8"/>
  <c r="AP35" i="8" s="1"/>
  <c r="AB35" i="8"/>
  <c r="AQ35" i="8" s="1"/>
  <c r="AC35" i="8"/>
  <c r="AD35" i="8"/>
  <c r="C33" i="8"/>
  <c r="Q33" i="8" s="1"/>
  <c r="AF33" i="8" s="1"/>
  <c r="D33" i="8"/>
  <c r="R33" i="8" s="1"/>
  <c r="AG33" i="8" s="1"/>
  <c r="E33" i="8"/>
  <c r="F33" i="8"/>
  <c r="H33" i="8"/>
  <c r="I33" i="8"/>
  <c r="J33" i="8"/>
  <c r="K33" i="8"/>
  <c r="L33" i="8"/>
  <c r="M33" i="8"/>
  <c r="N33" i="8"/>
  <c r="O33" i="8"/>
  <c r="P33" i="8"/>
  <c r="S33" i="8"/>
  <c r="T33" i="8"/>
  <c r="U33" i="8"/>
  <c r="V33" i="8"/>
  <c r="W33" i="8"/>
  <c r="X33" i="8"/>
  <c r="Y33" i="8"/>
  <c r="Z33" i="8"/>
  <c r="AA33" i="8"/>
  <c r="AP33" i="8" s="1"/>
  <c r="AB33" i="8"/>
  <c r="AQ33" i="8" s="1"/>
  <c r="AC33" i="8"/>
  <c r="AD33" i="8"/>
  <c r="B30" i="8"/>
  <c r="B31" i="8"/>
  <c r="B28" i="8"/>
  <c r="E28" i="8"/>
  <c r="F28" i="8"/>
  <c r="H28" i="8"/>
  <c r="I28" i="8"/>
  <c r="J28" i="8"/>
  <c r="K28" i="8"/>
  <c r="L28" i="8"/>
  <c r="O28" i="8"/>
  <c r="P28" i="8"/>
  <c r="S28" i="8"/>
  <c r="T28" i="8"/>
  <c r="U28" i="8"/>
  <c r="V28" i="8"/>
  <c r="W28" i="8"/>
  <c r="X28" i="8"/>
  <c r="Y28" i="8"/>
  <c r="Z28" i="8"/>
  <c r="AA28" i="8"/>
  <c r="AP28" i="8" s="1"/>
  <c r="AB28" i="8"/>
  <c r="AQ28" i="8" s="1"/>
  <c r="AC28" i="8"/>
  <c r="AD28" i="8"/>
  <c r="B29" i="8"/>
  <c r="C29" i="8"/>
  <c r="Q29" i="8" s="1"/>
  <c r="AE29" i="8" s="1"/>
  <c r="D29" i="8"/>
  <c r="R29" i="8" s="1"/>
  <c r="AG29" i="8" s="1"/>
  <c r="E29" i="8"/>
  <c r="F29" i="8"/>
  <c r="H29" i="8"/>
  <c r="I29" i="8"/>
  <c r="J29" i="8"/>
  <c r="K29" i="8"/>
  <c r="L29" i="8"/>
  <c r="M29" i="8"/>
  <c r="N29" i="8"/>
  <c r="O29" i="8"/>
  <c r="P29" i="8"/>
  <c r="S29" i="8"/>
  <c r="T29" i="8"/>
  <c r="U29" i="8"/>
  <c r="V29" i="8"/>
  <c r="W29" i="8"/>
  <c r="X29" i="8"/>
  <c r="Y29" i="8"/>
  <c r="Z29" i="8"/>
  <c r="AA29" i="8"/>
  <c r="AP29" i="8" s="1"/>
  <c r="AB29" i="8"/>
  <c r="AQ29" i="8" s="1"/>
  <c r="AC29" i="8"/>
  <c r="AD29" i="8"/>
  <c r="B25" i="8"/>
  <c r="E25" i="8"/>
  <c r="F25" i="8"/>
  <c r="H25" i="8"/>
  <c r="I25" i="8"/>
  <c r="J25" i="8"/>
  <c r="K25" i="8"/>
  <c r="L25" i="8"/>
  <c r="O25" i="8"/>
  <c r="P25" i="8"/>
  <c r="S25" i="8"/>
  <c r="T25" i="8"/>
  <c r="U25" i="8"/>
  <c r="V25" i="8"/>
  <c r="W25" i="8"/>
  <c r="X25" i="8"/>
  <c r="Y25" i="8"/>
  <c r="Z25" i="8"/>
  <c r="AA25" i="8"/>
  <c r="AP25" i="8" s="1"/>
  <c r="AB25" i="8"/>
  <c r="AQ25" i="8" s="1"/>
  <c r="AC25" i="8"/>
  <c r="AD25" i="8"/>
  <c r="B26" i="8"/>
  <c r="C26" i="8"/>
  <c r="Q26" i="8" s="1"/>
  <c r="AE26" i="8" s="1"/>
  <c r="D26" i="8"/>
  <c r="R26" i="8" s="1"/>
  <c r="AG26" i="8" s="1"/>
  <c r="E26" i="8"/>
  <c r="F26" i="8"/>
  <c r="H26" i="8"/>
  <c r="I26" i="8"/>
  <c r="J26" i="8"/>
  <c r="K26" i="8"/>
  <c r="L26" i="8"/>
  <c r="M26" i="8"/>
  <c r="N26" i="8"/>
  <c r="O26" i="8"/>
  <c r="P26" i="8"/>
  <c r="S26" i="8"/>
  <c r="T26" i="8"/>
  <c r="U26" i="8"/>
  <c r="V26" i="8"/>
  <c r="W26" i="8"/>
  <c r="X26" i="8"/>
  <c r="Y26" i="8"/>
  <c r="Z26" i="8"/>
  <c r="AA26" i="8"/>
  <c r="AP26" i="8" s="1"/>
  <c r="AB26" i="8"/>
  <c r="AQ26" i="8" s="1"/>
  <c r="AC26" i="8"/>
  <c r="AD26" i="8"/>
  <c r="B22" i="8"/>
  <c r="E22" i="8"/>
  <c r="F22" i="8"/>
  <c r="H22" i="8"/>
  <c r="I22" i="8"/>
  <c r="J22" i="8"/>
  <c r="K22" i="8"/>
  <c r="L22" i="8"/>
  <c r="O22" i="8"/>
  <c r="P22" i="8"/>
  <c r="S22" i="8"/>
  <c r="T22" i="8"/>
  <c r="U22" i="8"/>
  <c r="V22" i="8"/>
  <c r="W22" i="8"/>
  <c r="X22" i="8"/>
  <c r="Y22" i="8"/>
  <c r="Z22" i="8"/>
  <c r="AA22" i="8"/>
  <c r="AP22" i="8" s="1"/>
  <c r="AB22" i="8"/>
  <c r="AQ22" i="8" s="1"/>
  <c r="AC22" i="8"/>
  <c r="AD22" i="8"/>
  <c r="B23" i="8"/>
  <c r="C23" i="8"/>
  <c r="Q23" i="8" s="1"/>
  <c r="AE23" i="8" s="1"/>
  <c r="D23" i="8"/>
  <c r="R23" i="8" s="1"/>
  <c r="AG23" i="8" s="1"/>
  <c r="E23" i="8"/>
  <c r="F23" i="8"/>
  <c r="H23" i="8"/>
  <c r="I23" i="8"/>
  <c r="J23" i="8"/>
  <c r="K23" i="8"/>
  <c r="L23" i="8"/>
  <c r="M23" i="8"/>
  <c r="N23" i="8"/>
  <c r="O23" i="8"/>
  <c r="P23" i="8"/>
  <c r="S23" i="8"/>
  <c r="T23" i="8"/>
  <c r="U23" i="8"/>
  <c r="V23" i="8"/>
  <c r="W23" i="8"/>
  <c r="X23" i="8"/>
  <c r="Y23" i="8"/>
  <c r="Z23" i="8"/>
  <c r="AA23" i="8"/>
  <c r="AP23" i="8" s="1"/>
  <c r="AB23" i="8"/>
  <c r="AQ23" i="8" s="1"/>
  <c r="AC23" i="8"/>
  <c r="AD23" i="8"/>
  <c r="B19" i="8"/>
  <c r="E19" i="8"/>
  <c r="F19" i="8"/>
  <c r="H19" i="8"/>
  <c r="I19" i="8"/>
  <c r="J19" i="8"/>
  <c r="K19" i="8"/>
  <c r="L19" i="8"/>
  <c r="O19" i="8"/>
  <c r="P19" i="8"/>
  <c r="S19" i="8"/>
  <c r="T19" i="8"/>
  <c r="U19" i="8"/>
  <c r="V19" i="8"/>
  <c r="W19" i="8"/>
  <c r="X19" i="8"/>
  <c r="Y19" i="8"/>
  <c r="Z19" i="8"/>
  <c r="AA19" i="8"/>
  <c r="AB19" i="8"/>
  <c r="AQ19" i="8" s="1"/>
  <c r="AC19" i="8"/>
  <c r="AD19" i="8"/>
  <c r="AP19" i="8"/>
  <c r="B20" i="8"/>
  <c r="C20" i="8"/>
  <c r="Q20" i="8" s="1"/>
  <c r="AE20" i="8" s="1"/>
  <c r="D20" i="8"/>
  <c r="R20" i="8" s="1"/>
  <c r="AG20" i="8" s="1"/>
  <c r="E20" i="8"/>
  <c r="F20" i="8"/>
  <c r="H20" i="8"/>
  <c r="I20" i="8"/>
  <c r="J20" i="8"/>
  <c r="K20" i="8"/>
  <c r="L20" i="8"/>
  <c r="M20" i="8"/>
  <c r="N20" i="8"/>
  <c r="O20" i="8"/>
  <c r="P20" i="8"/>
  <c r="S20" i="8"/>
  <c r="T20" i="8"/>
  <c r="U20" i="8"/>
  <c r="V20" i="8"/>
  <c r="W20" i="8"/>
  <c r="X20" i="8"/>
  <c r="Y20" i="8"/>
  <c r="Z20" i="8"/>
  <c r="AA20" i="8"/>
  <c r="AB20" i="8"/>
  <c r="AQ20" i="8" s="1"/>
  <c r="AC20" i="8"/>
  <c r="AD20" i="8"/>
  <c r="AP20" i="8"/>
  <c r="B16" i="8"/>
  <c r="E16" i="8"/>
  <c r="F16" i="8"/>
  <c r="I16" i="8"/>
  <c r="J16" i="8"/>
  <c r="K16" i="8"/>
  <c r="L16" i="8"/>
  <c r="O16" i="8"/>
  <c r="P16" i="8"/>
  <c r="S16" i="8"/>
  <c r="T16" i="8"/>
  <c r="U16" i="8"/>
  <c r="V16" i="8"/>
  <c r="W16" i="8"/>
  <c r="X16" i="8"/>
  <c r="Y16" i="8"/>
  <c r="Z16" i="8"/>
  <c r="AA16" i="8"/>
  <c r="AP16" i="8" s="1"/>
  <c r="AB16" i="8"/>
  <c r="AQ16" i="8" s="1"/>
  <c r="AC16" i="8"/>
  <c r="AD16" i="8"/>
  <c r="B17" i="8"/>
  <c r="C17" i="8"/>
  <c r="D17" i="8"/>
  <c r="E17" i="8"/>
  <c r="F17" i="8"/>
  <c r="I17" i="8"/>
  <c r="J17" i="8"/>
  <c r="K17" i="8"/>
  <c r="L17" i="8"/>
  <c r="M17" i="8"/>
  <c r="N17" i="8"/>
  <c r="O17" i="8"/>
  <c r="P17" i="8"/>
  <c r="Q17" i="8"/>
  <c r="AE17" i="8" s="1"/>
  <c r="R17" i="8"/>
  <c r="AG17" i="8" s="1"/>
  <c r="S17" i="8"/>
  <c r="T17" i="8"/>
  <c r="U17" i="8"/>
  <c r="V17" i="8"/>
  <c r="W17" i="8"/>
  <c r="X17" i="8"/>
  <c r="Y17" i="8"/>
  <c r="Z17" i="8"/>
  <c r="AA17" i="8"/>
  <c r="AP17" i="8" s="1"/>
  <c r="AB17" i="8"/>
  <c r="AQ17" i="8" s="1"/>
  <c r="AC17" i="8"/>
  <c r="AD17" i="8"/>
  <c r="E31" i="8"/>
  <c r="F31" i="8"/>
  <c r="H31" i="8"/>
  <c r="I31" i="8"/>
  <c r="J31" i="8"/>
  <c r="K31" i="8"/>
  <c r="L31" i="8"/>
  <c r="N31" i="8"/>
  <c r="O31" i="8"/>
  <c r="P31" i="8"/>
  <c r="S31" i="8"/>
  <c r="T31" i="8"/>
  <c r="U31" i="8"/>
  <c r="V31" i="8"/>
  <c r="W31" i="8"/>
  <c r="X31" i="8"/>
  <c r="Y31" i="8"/>
  <c r="Z31" i="8"/>
  <c r="AA31" i="8"/>
  <c r="AP31" i="8" s="1"/>
  <c r="AB31" i="8"/>
  <c r="AQ31" i="8" s="1"/>
  <c r="AC31" i="8"/>
  <c r="AD31" i="8"/>
  <c r="C32" i="8"/>
  <c r="Q32" i="8" s="1"/>
  <c r="AE32" i="8" s="1"/>
  <c r="D32" i="8"/>
  <c r="E32" i="8"/>
  <c r="F32" i="8"/>
  <c r="H32" i="8"/>
  <c r="I32" i="8"/>
  <c r="J32" i="8"/>
  <c r="K32" i="8"/>
  <c r="L32" i="8"/>
  <c r="M32" i="8"/>
  <c r="N32" i="8"/>
  <c r="O32" i="8"/>
  <c r="P32" i="8"/>
  <c r="R32" i="8"/>
  <c r="AG32" i="8" s="1"/>
  <c r="S32" i="8"/>
  <c r="T32" i="8"/>
  <c r="U32" i="8"/>
  <c r="V32" i="8"/>
  <c r="W32" i="8"/>
  <c r="X32" i="8"/>
  <c r="Y32" i="8"/>
  <c r="Z32" i="8"/>
  <c r="AA32" i="8"/>
  <c r="AP32" i="8" s="1"/>
  <c r="AB32" i="8"/>
  <c r="AQ32" i="8" s="1"/>
  <c r="AC32" i="8"/>
  <c r="AD32" i="8"/>
  <c r="O34" i="11"/>
  <c r="P34" i="11" s="1"/>
  <c r="O35" i="11"/>
  <c r="P35" i="11" s="1"/>
  <c r="O36" i="11"/>
  <c r="P36" i="11" s="1"/>
  <c r="AU51" i="13"/>
  <c r="AV51" i="13"/>
  <c r="AW51" i="13"/>
  <c r="AU52" i="13"/>
  <c r="AV52" i="13"/>
  <c r="AW52" i="13"/>
  <c r="AA150" i="13"/>
  <c r="AB150" i="13"/>
  <c r="AA174" i="13"/>
  <c r="AB174" i="13"/>
  <c r="AA234" i="13"/>
  <c r="AB234" i="13"/>
  <c r="Z234" i="13"/>
  <c r="Z174" i="13"/>
  <c r="Z150" i="13"/>
  <c r="G28" i="13"/>
  <c r="F28" i="13"/>
  <c r="G27" i="13"/>
  <c r="G26" i="13"/>
  <c r="F27" i="13"/>
  <c r="F26" i="13"/>
  <c r="L71" i="3"/>
  <c r="M71" i="3"/>
  <c r="L68" i="3"/>
  <c r="M68" i="3"/>
  <c r="L65" i="3"/>
  <c r="M65" i="3"/>
  <c r="M69" i="3"/>
  <c r="F69" i="3" s="1"/>
  <c r="G42" i="8" s="1"/>
  <c r="L69" i="3"/>
  <c r="E69" i="3" s="1"/>
  <c r="E71" i="3" s="1"/>
  <c r="E70" i="3" s="1"/>
  <c r="F43" i="8" s="1"/>
  <c r="M66" i="3"/>
  <c r="F66" i="3" s="1"/>
  <c r="G39" i="8" s="1"/>
  <c r="M63" i="3"/>
  <c r="F63" i="3" s="1"/>
  <c r="F65" i="3" s="1"/>
  <c r="F64" i="3" s="1"/>
  <c r="G37" i="8" s="1"/>
  <c r="L66" i="3"/>
  <c r="E66" i="3" s="1"/>
  <c r="F39" i="8" s="1"/>
  <c r="L63" i="3"/>
  <c r="E63" i="3" s="1"/>
  <c r="E65" i="3" s="1"/>
  <c r="E64" i="3" s="1"/>
  <c r="F37" i="8" s="1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8" i="3"/>
  <c r="G69" i="3"/>
  <c r="G71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8" i="3"/>
  <c r="H69" i="3"/>
  <c r="H70" i="3"/>
  <c r="H71" i="3"/>
  <c r="J70" i="3"/>
  <c r="G70" i="3" s="1"/>
  <c r="I70" i="3"/>
  <c r="D70" i="3"/>
  <c r="C70" i="3"/>
  <c r="M70" i="3" s="1"/>
  <c r="N43" i="8" s="1"/>
  <c r="B70" i="3"/>
  <c r="C43" i="8" s="1"/>
  <c r="Q43" i="8" s="1"/>
  <c r="J67" i="3"/>
  <c r="G67" i="3" s="1"/>
  <c r="I67" i="3"/>
  <c r="H67" i="3" s="1"/>
  <c r="D67" i="3"/>
  <c r="C67" i="3"/>
  <c r="M67" i="3" s="1"/>
  <c r="N40" i="8" s="1"/>
  <c r="B67" i="3"/>
  <c r="C40" i="8" s="1"/>
  <c r="Q40" i="8" s="1"/>
  <c r="J64" i="3"/>
  <c r="I64" i="3"/>
  <c r="D64" i="3"/>
  <c r="C64" i="3"/>
  <c r="M64" i="3" s="1"/>
  <c r="N37" i="8" s="1"/>
  <c r="B64" i="3"/>
  <c r="C37" i="8" s="1"/>
  <c r="Q37" i="8" s="1"/>
  <c r="F44" i="3"/>
  <c r="G35" i="8" s="1"/>
  <c r="F42" i="3"/>
  <c r="G33" i="8" s="1"/>
  <c r="F41" i="3"/>
  <c r="G32" i="8" s="1"/>
  <c r="F38" i="3"/>
  <c r="G29" i="8" s="1"/>
  <c r="F35" i="3"/>
  <c r="G26" i="8" s="1"/>
  <c r="F32" i="3"/>
  <c r="G23" i="8" s="1"/>
  <c r="F29" i="3"/>
  <c r="G20" i="8" s="1"/>
  <c r="F26" i="3"/>
  <c r="G17" i="8" s="1"/>
  <c r="F50" i="3"/>
  <c r="J61" i="3"/>
  <c r="I61" i="3"/>
  <c r="E61" i="3"/>
  <c r="D61" i="3"/>
  <c r="C61" i="3"/>
  <c r="B61" i="3"/>
  <c r="AL9" i="10" l="1"/>
  <c r="AH9" i="10"/>
  <c r="AL10" i="10"/>
  <c r="AH10" i="10"/>
  <c r="AI8" i="10"/>
  <c r="AM8" i="10"/>
  <c r="AK8" i="10"/>
  <c r="AO8" i="10"/>
  <c r="AS8" i="10"/>
  <c r="AL11" i="10"/>
  <c r="AH11" i="10"/>
  <c r="AI9" i="10"/>
  <c r="AM9" i="10"/>
  <c r="AK9" i="10"/>
  <c r="AO9" i="10"/>
  <c r="AS9" i="10"/>
  <c r="AI10" i="10"/>
  <c r="AM10" i="10"/>
  <c r="AK10" i="10"/>
  <c r="AO10" i="10"/>
  <c r="AS10" i="10"/>
  <c r="AI11" i="10"/>
  <c r="AM11" i="10"/>
  <c r="AK11" i="10"/>
  <c r="AO11" i="10"/>
  <c r="AS11" i="10"/>
  <c r="AF11" i="10"/>
  <c r="AF10" i="10"/>
  <c r="AF9" i="10"/>
  <c r="AF8" i="10"/>
  <c r="AP46" i="8"/>
  <c r="M42" i="8"/>
  <c r="AE41" i="8"/>
  <c r="AM41" i="8" s="1"/>
  <c r="AF41" i="8"/>
  <c r="AF40" i="8"/>
  <c r="AE40" i="8"/>
  <c r="AI40" i="8" s="1"/>
  <c r="AE43" i="8"/>
  <c r="AK43" i="8" s="1"/>
  <c r="AF43" i="8"/>
  <c r="AF37" i="8"/>
  <c r="AE37" i="8"/>
  <c r="AS37" i="8" s="1"/>
  <c r="AE39" i="8"/>
  <c r="AI39" i="8" s="1"/>
  <c r="AF39" i="8"/>
  <c r="AF38" i="8"/>
  <c r="AE38" i="8"/>
  <c r="AJ38" i="8" s="1"/>
  <c r="AF42" i="8"/>
  <c r="AE42" i="8"/>
  <c r="AJ42" i="8" s="1"/>
  <c r="AF44" i="8"/>
  <c r="AE44" i="8"/>
  <c r="AK44" i="8" s="1"/>
  <c r="AM39" i="8"/>
  <c r="G36" i="8"/>
  <c r="D40" i="8"/>
  <c r="R40" i="8" s="1"/>
  <c r="AG40" i="8" s="1"/>
  <c r="N39" i="8"/>
  <c r="AO41" i="8"/>
  <c r="N36" i="8"/>
  <c r="F36" i="8"/>
  <c r="F44" i="8"/>
  <c r="M39" i="8"/>
  <c r="G38" i="8"/>
  <c r="M36" i="8"/>
  <c r="D43" i="8"/>
  <c r="R43" i="8" s="1"/>
  <c r="AG43" i="8" s="1"/>
  <c r="N42" i="8"/>
  <c r="F42" i="8"/>
  <c r="F38" i="8"/>
  <c r="D37" i="8"/>
  <c r="R37" i="8" s="1"/>
  <c r="AG37" i="8" s="1"/>
  <c r="AE36" i="8"/>
  <c r="AR36" i="8" s="1"/>
  <c r="AE33" i="8"/>
  <c r="AK33" i="8" s="1"/>
  <c r="AK35" i="8"/>
  <c r="AO35" i="8"/>
  <c r="AS35" i="8"/>
  <c r="AK34" i="8"/>
  <c r="AO34" i="8"/>
  <c r="AS34" i="8"/>
  <c r="AR35" i="8"/>
  <c r="AN35" i="8"/>
  <c r="AJ35" i="8"/>
  <c r="AR34" i="8"/>
  <c r="AN34" i="8"/>
  <c r="AJ34" i="8"/>
  <c r="AM35" i="8"/>
  <c r="AI35" i="8"/>
  <c r="AM34" i="8"/>
  <c r="AI34" i="8"/>
  <c r="AL35" i="8"/>
  <c r="AH35" i="8"/>
  <c r="AL34" i="8"/>
  <c r="AH34" i="8"/>
  <c r="AF35" i="8"/>
  <c r="AF34" i="8"/>
  <c r="AR26" i="8"/>
  <c r="AN26" i="8"/>
  <c r="AR29" i="8"/>
  <c r="AJ29" i="8"/>
  <c r="AJ26" i="8"/>
  <c r="AN29" i="8"/>
  <c r="AR32" i="8"/>
  <c r="AN32" i="8"/>
  <c r="AJ32" i="8"/>
  <c r="AR23" i="8"/>
  <c r="AN23" i="8"/>
  <c r="AI29" i="8"/>
  <c r="AM29" i="8"/>
  <c r="AK29" i="8"/>
  <c r="AO29" i="8"/>
  <c r="AS29" i="8"/>
  <c r="AL29" i="8"/>
  <c r="AH29" i="8"/>
  <c r="AF29" i="8"/>
  <c r="AL26" i="8"/>
  <c r="AH26" i="8"/>
  <c r="AI26" i="8"/>
  <c r="AM26" i="8"/>
  <c r="AK26" i="8"/>
  <c r="AO26" i="8"/>
  <c r="AS26" i="8"/>
  <c r="AF26" i="8"/>
  <c r="AJ23" i="8"/>
  <c r="AI23" i="8"/>
  <c r="AM23" i="8"/>
  <c r="AK23" i="8"/>
  <c r="AO23" i="8"/>
  <c r="AS23" i="8"/>
  <c r="AL23" i="8"/>
  <c r="AH23" i="8"/>
  <c r="AF23" i="8"/>
  <c r="AR20" i="8"/>
  <c r="AN20" i="8"/>
  <c r="AJ20" i="8"/>
  <c r="AM20" i="8"/>
  <c r="AI20" i="8"/>
  <c r="AH20" i="8"/>
  <c r="AL20" i="8"/>
  <c r="AO20" i="8"/>
  <c r="AK20" i="8"/>
  <c r="AS20" i="8"/>
  <c r="AF20" i="8"/>
  <c r="AR17" i="8"/>
  <c r="AN17" i="8"/>
  <c r="AJ17" i="8"/>
  <c r="AL17" i="8"/>
  <c r="AH17" i="8"/>
  <c r="AI17" i="8"/>
  <c r="AM17" i="8"/>
  <c r="AK17" i="8"/>
  <c r="AO17" i="8"/>
  <c r="AS17" i="8"/>
  <c r="AL32" i="8"/>
  <c r="AF17" i="8"/>
  <c r="AH32" i="8"/>
  <c r="AI32" i="8"/>
  <c r="AM32" i="8"/>
  <c r="AK32" i="8"/>
  <c r="AO32" i="8"/>
  <c r="AS32" i="8"/>
  <c r="AF32" i="8"/>
  <c r="F68" i="3"/>
  <c r="F71" i="3"/>
  <c r="E68" i="3"/>
  <c r="L70" i="3"/>
  <c r="M43" i="8" s="1"/>
  <c r="L64" i="3"/>
  <c r="M37" i="8" s="1"/>
  <c r="L67" i="3"/>
  <c r="M40" i="8" s="1"/>
  <c r="AB175" i="13"/>
  <c r="AB151" i="13"/>
  <c r="Z175" i="13"/>
  <c r="AA175" i="13"/>
  <c r="AA151" i="13"/>
  <c r="Z151" i="13"/>
  <c r="J58" i="3"/>
  <c r="I58" i="3"/>
  <c r="E58" i="3"/>
  <c r="D58" i="3"/>
  <c r="C58" i="3"/>
  <c r="B58" i="3"/>
  <c r="J55" i="3"/>
  <c r="I55" i="3"/>
  <c r="F55" i="3"/>
  <c r="E55" i="3"/>
  <c r="D55" i="3"/>
  <c r="C55" i="3"/>
  <c r="B55" i="3"/>
  <c r="J52" i="3"/>
  <c r="I52" i="3"/>
  <c r="E52" i="3"/>
  <c r="D52" i="3"/>
  <c r="C52" i="3"/>
  <c r="B52" i="3"/>
  <c r="J49" i="3"/>
  <c r="I49" i="3"/>
  <c r="F49" i="3"/>
  <c r="E49" i="3"/>
  <c r="D49" i="3"/>
  <c r="C49" i="3"/>
  <c r="B49" i="3"/>
  <c r="J46" i="3"/>
  <c r="I46" i="3"/>
  <c r="E46" i="3"/>
  <c r="D46" i="3"/>
  <c r="C46" i="3"/>
  <c r="B46" i="3"/>
  <c r="M89" i="3"/>
  <c r="M91" i="3"/>
  <c r="L89" i="3"/>
  <c r="L90" i="3"/>
  <c r="L91" i="3"/>
  <c r="K90" i="3"/>
  <c r="M90" i="3" s="1"/>
  <c r="K89" i="3"/>
  <c r="K91" i="3"/>
  <c r="J89" i="3"/>
  <c r="J90" i="3"/>
  <c r="J91" i="3"/>
  <c r="J88" i="3"/>
  <c r="I89" i="3"/>
  <c r="I90" i="3"/>
  <c r="I91" i="3"/>
  <c r="I88" i="3"/>
  <c r="L88" i="3" s="1"/>
  <c r="G11" i="3"/>
  <c r="H11" i="3"/>
  <c r="G10" i="3"/>
  <c r="H10" i="3"/>
  <c r="G9" i="3"/>
  <c r="H9" i="3"/>
  <c r="H8" i="3"/>
  <c r="G8" i="3"/>
  <c r="AJ40" i="8" l="1"/>
  <c r="AJ39" i="8"/>
  <c r="AI41" i="8"/>
  <c r="AJ44" i="8"/>
  <c r="AN38" i="8"/>
  <c r="AH44" i="8"/>
  <c r="AN40" i="8"/>
  <c r="AR38" i="8"/>
  <c r="AS41" i="8"/>
  <c r="AH38" i="8"/>
  <c r="AR40" i="8"/>
  <c r="AH40" i="8"/>
  <c r="AO38" i="8"/>
  <c r="AL38" i="8"/>
  <c r="AN42" i="8"/>
  <c r="AH42" i="8"/>
  <c r="AM40" i="8"/>
  <c r="AH39" i="8"/>
  <c r="AM43" i="8"/>
  <c r="AS43" i="8"/>
  <c r="AO43" i="8"/>
  <c r="AN39" i="8"/>
  <c r="AO39" i="8"/>
  <c r="AM42" i="8"/>
  <c r="AL39" i="8"/>
  <c r="AI43" i="8"/>
  <c r="AH37" i="8"/>
  <c r="AL37" i="8"/>
  <c r="AN37" i="8"/>
  <c r="AR42" i="8"/>
  <c r="AO37" i="8"/>
  <c r="AS39" i="8"/>
  <c r="AL42" i="8"/>
  <c r="AK41" i="8"/>
  <c r="AM44" i="8"/>
  <c r="AM38" i="8"/>
  <c r="AK38" i="8"/>
  <c r="AI38" i="8"/>
  <c r="AS38" i="8"/>
  <c r="AI42" i="8"/>
  <c r="AR37" i="8"/>
  <c r="E67" i="3"/>
  <c r="F40" i="8" s="1"/>
  <c r="F41" i="8"/>
  <c r="F70" i="3"/>
  <c r="G43" i="8" s="1"/>
  <c r="G44" i="8"/>
  <c r="AO44" i="8"/>
  <c r="AR39" i="8"/>
  <c r="AN44" i="8"/>
  <c r="AI37" i="8"/>
  <c r="AK39" i="8"/>
  <c r="AL40" i="8"/>
  <c r="AL44" i="8"/>
  <c r="AM37" i="8"/>
  <c r="AL43" i="8"/>
  <c r="AN43" i="8"/>
  <c r="AR43" i="8"/>
  <c r="AH43" i="8"/>
  <c r="AJ43" i="8"/>
  <c r="F67" i="3"/>
  <c r="G40" i="8" s="1"/>
  <c r="G41" i="8"/>
  <c r="AS44" i="8"/>
  <c r="AR44" i="8"/>
  <c r="AK37" i="8"/>
  <c r="AI44" i="8"/>
  <c r="AK42" i="8"/>
  <c r="AS42" i="8"/>
  <c r="AO42" i="8"/>
  <c r="AJ37" i="8"/>
  <c r="AK40" i="8"/>
  <c r="AS40" i="8"/>
  <c r="AO40" i="8"/>
  <c r="AL41" i="8"/>
  <c r="AN41" i="8"/>
  <c r="AJ41" i="8"/>
  <c r="AH41" i="8"/>
  <c r="AR41" i="8"/>
  <c r="AJ36" i="8"/>
  <c r="AI36" i="8"/>
  <c r="AM36" i="8"/>
  <c r="AH36" i="8"/>
  <c r="AL36" i="8"/>
  <c r="AK36" i="8"/>
  <c r="AS36" i="8"/>
  <c r="AO36" i="8"/>
  <c r="AN36" i="8"/>
  <c r="AI33" i="8"/>
  <c r="AS33" i="8"/>
  <c r="AL33" i="8"/>
  <c r="AN33" i="8"/>
  <c r="AJ33" i="8"/>
  <c r="AR33" i="8"/>
  <c r="AH33" i="8"/>
  <c r="AM33" i="8"/>
  <c r="AO33" i="8"/>
  <c r="K88" i="3"/>
  <c r="M88" i="3" s="1"/>
  <c r="AA152" i="13"/>
  <c r="AB176" i="13"/>
  <c r="AW60" i="13"/>
  <c r="AA176" i="13"/>
  <c r="AV60" i="13"/>
  <c r="Z176" i="13"/>
  <c r="AU60" i="13"/>
  <c r="Z152" i="13"/>
  <c r="AB152" i="13"/>
  <c r="AB149" i="13"/>
  <c r="AA149" i="13"/>
  <c r="Z149" i="13"/>
  <c r="M84" i="14"/>
  <c r="M85" i="14"/>
  <c r="M86" i="14"/>
  <c r="M87" i="14"/>
  <c r="M88" i="14"/>
  <c r="M89" i="14"/>
  <c r="M90" i="14"/>
  <c r="M91" i="14"/>
  <c r="M92" i="14"/>
  <c r="M93" i="14"/>
  <c r="M94" i="14"/>
  <c r="M95" i="14"/>
  <c r="M96" i="14"/>
  <c r="M97" i="14"/>
  <c r="M98" i="14"/>
  <c r="M99" i="14"/>
  <c r="M100" i="14"/>
  <c r="M101" i="14"/>
  <c r="M102" i="14"/>
  <c r="M103" i="14"/>
  <c r="M104" i="14"/>
  <c r="M105" i="14"/>
  <c r="M106" i="14"/>
  <c r="M107" i="14"/>
  <c r="M108" i="14"/>
  <c r="M109" i="14"/>
  <c r="M110" i="14"/>
  <c r="M111" i="14"/>
  <c r="M112" i="14"/>
  <c r="M113" i="14"/>
  <c r="M114" i="14"/>
  <c r="M115" i="14"/>
  <c r="W85" i="14"/>
  <c r="W86" i="14"/>
  <c r="W87" i="14"/>
  <c r="W88" i="14"/>
  <c r="W89" i="14"/>
  <c r="W90" i="14"/>
  <c r="W91" i="14"/>
  <c r="W92" i="14"/>
  <c r="W93" i="14"/>
  <c r="W94" i="14"/>
  <c r="W95" i="14"/>
  <c r="W84" i="14"/>
  <c r="AA148" i="13" l="1"/>
  <c r="Z177" i="13"/>
  <c r="AA153" i="13"/>
  <c r="AB148" i="13"/>
  <c r="Z153" i="13"/>
  <c r="AB177" i="13"/>
  <c r="Z148" i="13"/>
  <c r="AB153" i="13"/>
  <c r="AA177" i="13"/>
  <c r="K114" i="14"/>
  <c r="K112" i="14"/>
  <c r="K110" i="14"/>
  <c r="K108" i="14"/>
  <c r="K106" i="14"/>
  <c r="K104" i="14"/>
  <c r="K102" i="14"/>
  <c r="K100" i="14"/>
  <c r="K98" i="14"/>
  <c r="K96" i="14"/>
  <c r="K94" i="14"/>
  <c r="K92" i="14"/>
  <c r="K90" i="14"/>
  <c r="K88" i="14"/>
  <c r="K86" i="14"/>
  <c r="K84" i="14"/>
  <c r="N103" i="14"/>
  <c r="P115" i="14"/>
  <c r="O115" i="14"/>
  <c r="N115" i="14"/>
  <c r="L115" i="14"/>
  <c r="P114" i="14"/>
  <c r="O114" i="14"/>
  <c r="N114" i="14"/>
  <c r="L114" i="14"/>
  <c r="P113" i="14"/>
  <c r="O113" i="14"/>
  <c r="N113" i="14"/>
  <c r="L113" i="14"/>
  <c r="P112" i="14"/>
  <c r="O112" i="14"/>
  <c r="N112" i="14"/>
  <c r="L112" i="14"/>
  <c r="P111" i="14"/>
  <c r="O111" i="14"/>
  <c r="N111" i="14"/>
  <c r="L111" i="14"/>
  <c r="P110" i="14"/>
  <c r="O110" i="14"/>
  <c r="N110" i="14"/>
  <c r="L110" i="14"/>
  <c r="P109" i="14"/>
  <c r="O109" i="14"/>
  <c r="N109" i="14"/>
  <c r="L109" i="14"/>
  <c r="P108" i="14"/>
  <c r="O108" i="14"/>
  <c r="N108" i="14"/>
  <c r="L108" i="14"/>
  <c r="P107" i="14"/>
  <c r="O107" i="14"/>
  <c r="N107" i="14"/>
  <c r="L107" i="14"/>
  <c r="P106" i="14"/>
  <c r="O106" i="14"/>
  <c r="N106" i="14"/>
  <c r="L106" i="14"/>
  <c r="P105" i="14"/>
  <c r="O105" i="14"/>
  <c r="N105" i="14"/>
  <c r="L105" i="14"/>
  <c r="P104" i="14"/>
  <c r="O104" i="14"/>
  <c r="N104" i="14"/>
  <c r="L104" i="14"/>
  <c r="P103" i="14"/>
  <c r="O103" i="14"/>
  <c r="L103" i="14"/>
  <c r="P102" i="14"/>
  <c r="O102" i="14"/>
  <c r="N102" i="14"/>
  <c r="L102" i="14"/>
  <c r="P101" i="14"/>
  <c r="O101" i="14"/>
  <c r="N101" i="14"/>
  <c r="L101" i="14"/>
  <c r="P100" i="14"/>
  <c r="O100" i="14"/>
  <c r="N100" i="14"/>
  <c r="L100" i="14"/>
  <c r="P99" i="14"/>
  <c r="O99" i="14"/>
  <c r="N99" i="14"/>
  <c r="L99" i="14"/>
  <c r="P98" i="14"/>
  <c r="O98" i="14"/>
  <c r="N98" i="14"/>
  <c r="L98" i="14"/>
  <c r="P97" i="14"/>
  <c r="O97" i="14"/>
  <c r="N97" i="14"/>
  <c r="L97" i="14"/>
  <c r="P96" i="14"/>
  <c r="O96" i="14"/>
  <c r="N96" i="14"/>
  <c r="L96" i="14"/>
  <c r="P95" i="14"/>
  <c r="O95" i="14"/>
  <c r="N95" i="14"/>
  <c r="L95" i="14"/>
  <c r="P94" i="14"/>
  <c r="O94" i="14"/>
  <c r="N94" i="14"/>
  <c r="L94" i="14"/>
  <c r="P93" i="14"/>
  <c r="O93" i="14"/>
  <c r="N93" i="14"/>
  <c r="L93" i="14"/>
  <c r="P92" i="14"/>
  <c r="O92" i="14"/>
  <c r="N92" i="14"/>
  <c r="L92" i="14"/>
  <c r="P91" i="14"/>
  <c r="O91" i="14"/>
  <c r="N91" i="14"/>
  <c r="L91" i="14"/>
  <c r="P90" i="14"/>
  <c r="O90" i="14"/>
  <c r="N90" i="14"/>
  <c r="L90" i="14"/>
  <c r="P89" i="14"/>
  <c r="O89" i="14"/>
  <c r="N89" i="14"/>
  <c r="L89" i="14"/>
  <c r="P88" i="14"/>
  <c r="O88" i="14"/>
  <c r="N88" i="14"/>
  <c r="L88" i="14"/>
  <c r="P87" i="14"/>
  <c r="O87" i="14"/>
  <c r="N87" i="14"/>
  <c r="L87" i="14"/>
  <c r="P86" i="14"/>
  <c r="O86" i="14"/>
  <c r="N86" i="14"/>
  <c r="L86" i="14"/>
  <c r="P85" i="14"/>
  <c r="O85" i="14"/>
  <c r="N85" i="14"/>
  <c r="L85" i="14"/>
  <c r="P84" i="14"/>
  <c r="O84" i="14"/>
  <c r="N84" i="14"/>
  <c r="L84" i="14"/>
  <c r="AA178" i="13" l="1"/>
  <c r="Z147" i="13"/>
  <c r="Z154" i="13"/>
  <c r="AA154" i="13"/>
  <c r="AA147" i="13"/>
  <c r="AB154" i="13"/>
  <c r="AB178" i="13"/>
  <c r="AB147" i="13"/>
  <c r="Z178" i="13"/>
  <c r="R104" i="14"/>
  <c r="S104" i="14"/>
  <c r="S106" i="14"/>
  <c r="R106" i="14"/>
  <c r="R108" i="14"/>
  <c r="S108" i="14"/>
  <c r="S110" i="14"/>
  <c r="R110" i="14"/>
  <c r="R112" i="14"/>
  <c r="S112" i="14"/>
  <c r="S114" i="14"/>
  <c r="R114" i="14"/>
  <c r="R84" i="14"/>
  <c r="S84" i="14"/>
  <c r="S86" i="14"/>
  <c r="R86" i="14"/>
  <c r="R88" i="14"/>
  <c r="S88" i="14"/>
  <c r="S90" i="14"/>
  <c r="R90" i="14"/>
  <c r="R92" i="14"/>
  <c r="S92" i="14"/>
  <c r="S94" i="14"/>
  <c r="R94" i="14"/>
  <c r="R96" i="14"/>
  <c r="S96" i="14"/>
  <c r="S98" i="14"/>
  <c r="R98" i="14"/>
  <c r="R100" i="14"/>
  <c r="S100" i="14"/>
  <c r="S102" i="14"/>
  <c r="R102" i="14"/>
  <c r="AA155" i="13" l="1"/>
  <c r="AB155" i="13"/>
  <c r="Z146" i="13"/>
  <c r="AB146" i="13"/>
  <c r="Z179" i="13"/>
  <c r="AB179" i="13"/>
  <c r="AA146" i="13"/>
  <c r="Z155" i="13"/>
  <c r="AA179" i="13"/>
  <c r="M38" i="3"/>
  <c r="M35" i="3"/>
  <c r="M32" i="3"/>
  <c r="M29" i="3"/>
  <c r="M27" i="3"/>
  <c r="G26" i="3"/>
  <c r="H17" i="8" s="1"/>
  <c r="H26" i="3"/>
  <c r="H29" i="3"/>
  <c r="G29" i="3"/>
  <c r="H32" i="3"/>
  <c r="G32" i="3"/>
  <c r="H35" i="3"/>
  <c r="G35" i="3"/>
  <c r="H38" i="3"/>
  <c r="G38" i="3"/>
  <c r="H41" i="3"/>
  <c r="G41" i="3"/>
  <c r="H44" i="3"/>
  <c r="G44" i="3"/>
  <c r="H42" i="3"/>
  <c r="G42" i="3"/>
  <c r="F43" i="3"/>
  <c r="G34" i="8" s="1"/>
  <c r="E43" i="3"/>
  <c r="L40" i="3"/>
  <c r="M31" i="8" s="1"/>
  <c r="J40" i="3"/>
  <c r="I40" i="3"/>
  <c r="F40" i="3"/>
  <c r="G31" i="8" s="1"/>
  <c r="E40" i="3"/>
  <c r="C40" i="3"/>
  <c r="D31" i="8" s="1"/>
  <c r="R31" i="8" s="1"/>
  <c r="AG31" i="8" s="1"/>
  <c r="B40" i="3"/>
  <c r="C31" i="8" s="1"/>
  <c r="Q31" i="8" s="1"/>
  <c r="J37" i="3"/>
  <c r="I37" i="3"/>
  <c r="F37" i="3"/>
  <c r="G28" i="8" s="1"/>
  <c r="E37" i="3"/>
  <c r="D37" i="3"/>
  <c r="C37" i="3"/>
  <c r="B37" i="3"/>
  <c r="C28" i="8" s="1"/>
  <c r="Q28" i="8" s="1"/>
  <c r="L34" i="3"/>
  <c r="M25" i="8" s="1"/>
  <c r="J34" i="3"/>
  <c r="I34" i="3"/>
  <c r="F34" i="3"/>
  <c r="G25" i="8" s="1"/>
  <c r="E34" i="3"/>
  <c r="D34" i="3"/>
  <c r="C34" i="3"/>
  <c r="B34" i="3"/>
  <c r="C25" i="8" s="1"/>
  <c r="Q25" i="8" s="1"/>
  <c r="L31" i="3"/>
  <c r="M22" i="8" s="1"/>
  <c r="J31" i="3"/>
  <c r="I31" i="3"/>
  <c r="F31" i="3"/>
  <c r="G22" i="8" s="1"/>
  <c r="E31" i="3"/>
  <c r="D31" i="3"/>
  <c r="C31" i="3"/>
  <c r="B31" i="3"/>
  <c r="C22" i="8" s="1"/>
  <c r="Q22" i="8" s="1"/>
  <c r="L28" i="3"/>
  <c r="M19" i="8" s="1"/>
  <c r="J28" i="3"/>
  <c r="I28" i="3"/>
  <c r="F28" i="3"/>
  <c r="G19" i="8" s="1"/>
  <c r="E28" i="3"/>
  <c r="D28" i="3"/>
  <c r="C28" i="3"/>
  <c r="B28" i="3"/>
  <c r="C19" i="8" s="1"/>
  <c r="Q19" i="8" s="1"/>
  <c r="L25" i="3"/>
  <c r="M16" i="8" s="1"/>
  <c r="D25" i="3"/>
  <c r="E25" i="3"/>
  <c r="F25" i="3"/>
  <c r="G16" i="8" s="1"/>
  <c r="I25" i="3"/>
  <c r="J25" i="3"/>
  <c r="C25" i="3"/>
  <c r="B25" i="3"/>
  <c r="C16" i="8" s="1"/>
  <c r="Q16" i="8" s="1"/>
  <c r="Q46" i="8" s="1"/>
  <c r="F47" i="3"/>
  <c r="F46" i="3" s="1"/>
  <c r="AF31" i="8" l="1"/>
  <c r="AE31" i="8"/>
  <c r="AF16" i="8"/>
  <c r="AE16" i="8"/>
  <c r="M25" i="3"/>
  <c r="N16" i="8" s="1"/>
  <c r="D16" i="8"/>
  <c r="R16" i="8" s="1"/>
  <c r="AG16" i="8" s="1"/>
  <c r="M34" i="3"/>
  <c r="N25" i="8" s="1"/>
  <c r="D25" i="8"/>
  <c r="R25" i="8" s="1"/>
  <c r="AG25" i="8" s="1"/>
  <c r="AF19" i="8"/>
  <c r="AE19" i="8"/>
  <c r="AE22" i="8"/>
  <c r="AF22" i="8"/>
  <c r="AE28" i="8"/>
  <c r="AF28" i="8"/>
  <c r="AF25" i="8"/>
  <c r="AE25" i="8"/>
  <c r="M28" i="3"/>
  <c r="N19" i="8" s="1"/>
  <c r="D19" i="8"/>
  <c r="R19" i="8" s="1"/>
  <c r="AG19" i="8" s="1"/>
  <c r="M31" i="3"/>
  <c r="N22" i="8" s="1"/>
  <c r="D22" i="8"/>
  <c r="R22" i="8" s="1"/>
  <c r="AG22" i="8" s="1"/>
  <c r="M37" i="3"/>
  <c r="N28" i="8" s="1"/>
  <c r="D28" i="8"/>
  <c r="R28" i="8" s="1"/>
  <c r="AG28" i="8" s="1"/>
  <c r="AA180" i="13"/>
  <c r="AA145" i="13"/>
  <c r="Z180" i="13"/>
  <c r="Z145" i="13"/>
  <c r="AA156" i="13"/>
  <c r="AV58" i="13"/>
  <c r="Z156" i="13"/>
  <c r="AU58" i="13"/>
  <c r="AB180" i="13"/>
  <c r="AB145" i="13"/>
  <c r="AB156" i="13"/>
  <c r="AW58" i="13"/>
  <c r="G43" i="3"/>
  <c r="H43" i="3"/>
  <c r="S4" i="8"/>
  <c r="T4" i="8"/>
  <c r="U4" i="8"/>
  <c r="V4" i="8"/>
  <c r="W4" i="8"/>
  <c r="X4" i="8"/>
  <c r="Y4" i="8"/>
  <c r="Z4" i="8"/>
  <c r="AA4" i="8"/>
  <c r="AB4" i="8"/>
  <c r="AC4" i="8"/>
  <c r="AD4" i="8"/>
  <c r="S5" i="8"/>
  <c r="T5" i="8"/>
  <c r="U5" i="8"/>
  <c r="V5" i="8"/>
  <c r="W5" i="8"/>
  <c r="X5" i="8"/>
  <c r="Y5" i="8"/>
  <c r="Z5" i="8"/>
  <c r="AA5" i="8"/>
  <c r="AB5" i="8"/>
  <c r="AC5" i="8"/>
  <c r="AD5" i="8"/>
  <c r="S6" i="8"/>
  <c r="T6" i="8"/>
  <c r="U6" i="8"/>
  <c r="V6" i="8"/>
  <c r="W6" i="8"/>
  <c r="X6" i="8"/>
  <c r="Y6" i="8"/>
  <c r="Z6" i="8"/>
  <c r="AA6" i="8"/>
  <c r="AB6" i="8"/>
  <c r="AC6" i="8"/>
  <c r="AD6" i="8"/>
  <c r="S7" i="8"/>
  <c r="T7" i="8"/>
  <c r="U7" i="8"/>
  <c r="V7" i="8"/>
  <c r="W7" i="8"/>
  <c r="X7" i="8"/>
  <c r="Y7" i="8"/>
  <c r="Z7" i="8"/>
  <c r="AA7" i="8"/>
  <c r="AB7" i="8"/>
  <c r="AC7" i="8"/>
  <c r="AD7" i="8"/>
  <c r="S8" i="8"/>
  <c r="T8" i="8"/>
  <c r="U8" i="8"/>
  <c r="V8" i="8"/>
  <c r="W8" i="8"/>
  <c r="X8" i="8"/>
  <c r="Y8" i="8"/>
  <c r="Z8" i="8"/>
  <c r="AA8" i="8"/>
  <c r="AB8" i="8"/>
  <c r="AC8" i="8"/>
  <c r="AD8" i="8"/>
  <c r="S9" i="8"/>
  <c r="T9" i="8"/>
  <c r="U9" i="8"/>
  <c r="V9" i="8"/>
  <c r="W9" i="8"/>
  <c r="X9" i="8"/>
  <c r="Y9" i="8"/>
  <c r="Z9" i="8"/>
  <c r="AA9" i="8"/>
  <c r="AB9" i="8"/>
  <c r="AC9" i="8"/>
  <c r="AD9" i="8"/>
  <c r="S10" i="8"/>
  <c r="T10" i="8"/>
  <c r="U10" i="8"/>
  <c r="V10" i="8"/>
  <c r="W10" i="8"/>
  <c r="X10" i="8"/>
  <c r="Y10" i="8"/>
  <c r="Z10" i="8"/>
  <c r="AA10" i="8"/>
  <c r="AB10" i="8"/>
  <c r="AC10" i="8"/>
  <c r="AD10" i="8"/>
  <c r="S11" i="8"/>
  <c r="T11" i="8"/>
  <c r="U11" i="8"/>
  <c r="V11" i="8"/>
  <c r="W11" i="8"/>
  <c r="X11" i="8"/>
  <c r="Y11" i="8"/>
  <c r="Z11" i="8"/>
  <c r="AA11" i="8"/>
  <c r="AB11" i="8"/>
  <c r="AC11" i="8"/>
  <c r="AD11" i="8"/>
  <c r="S12" i="8"/>
  <c r="T12" i="8"/>
  <c r="U12" i="8"/>
  <c r="V12" i="8"/>
  <c r="W12" i="8"/>
  <c r="X12" i="8"/>
  <c r="Y12" i="8"/>
  <c r="Z12" i="8"/>
  <c r="AA12" i="8"/>
  <c r="AB12" i="8"/>
  <c r="AC12" i="8"/>
  <c r="AD12" i="8"/>
  <c r="S13" i="8"/>
  <c r="T13" i="8"/>
  <c r="U13" i="8"/>
  <c r="V13" i="8"/>
  <c r="W13" i="8"/>
  <c r="X13" i="8"/>
  <c r="Y13" i="8"/>
  <c r="Z13" i="8"/>
  <c r="AA13" i="8"/>
  <c r="AB13" i="8"/>
  <c r="AC13" i="8"/>
  <c r="AD13" i="8"/>
  <c r="S14" i="8"/>
  <c r="T14" i="8"/>
  <c r="U14" i="8"/>
  <c r="V14" i="8"/>
  <c r="W14" i="8"/>
  <c r="X14" i="8"/>
  <c r="Y14" i="8"/>
  <c r="Z14" i="8"/>
  <c r="AA14" i="8"/>
  <c r="AB14" i="8"/>
  <c r="AC14" i="8"/>
  <c r="AD14" i="8"/>
  <c r="S15" i="8"/>
  <c r="T15" i="8"/>
  <c r="U15" i="8"/>
  <c r="V15" i="8"/>
  <c r="W15" i="8"/>
  <c r="X15" i="8"/>
  <c r="Y15" i="8"/>
  <c r="Z15" i="8"/>
  <c r="AA15" i="8"/>
  <c r="AB15" i="8"/>
  <c r="AC15" i="8"/>
  <c r="AD15" i="8"/>
  <c r="S18" i="8"/>
  <c r="T18" i="8"/>
  <c r="U18" i="8"/>
  <c r="V18" i="8"/>
  <c r="W18" i="8"/>
  <c r="X18" i="8"/>
  <c r="Y18" i="8"/>
  <c r="Z18" i="8"/>
  <c r="AA18" i="8"/>
  <c r="AB18" i="8"/>
  <c r="AC18" i="8"/>
  <c r="AD18" i="8"/>
  <c r="S21" i="8"/>
  <c r="T21" i="8"/>
  <c r="U21" i="8"/>
  <c r="V21" i="8"/>
  <c r="W21" i="8"/>
  <c r="X21" i="8"/>
  <c r="Y21" i="8"/>
  <c r="Z21" i="8"/>
  <c r="AA21" i="8"/>
  <c r="AB21" i="8"/>
  <c r="AC21" i="8"/>
  <c r="AD21" i="8"/>
  <c r="S27" i="8"/>
  <c r="T27" i="8"/>
  <c r="U27" i="8"/>
  <c r="V27" i="8"/>
  <c r="W27" i="8"/>
  <c r="X27" i="8"/>
  <c r="Y27" i="8"/>
  <c r="Z27" i="8"/>
  <c r="AA27" i="8"/>
  <c r="AB27" i="8"/>
  <c r="AC27" i="8"/>
  <c r="AD27" i="8"/>
  <c r="S30" i="8"/>
  <c r="T30" i="8"/>
  <c r="U30" i="8"/>
  <c r="V30" i="8"/>
  <c r="W30" i="8"/>
  <c r="X30" i="8"/>
  <c r="Y30" i="8"/>
  <c r="Z30" i="8"/>
  <c r="AA30" i="8"/>
  <c r="AB30" i="8"/>
  <c r="AC30" i="8"/>
  <c r="AD30" i="8"/>
  <c r="AD3" i="8"/>
  <c r="AC3" i="8"/>
  <c r="AB3" i="8"/>
  <c r="AA3" i="8"/>
  <c r="Z3" i="8"/>
  <c r="Y3" i="8"/>
  <c r="X3" i="8"/>
  <c r="W3" i="8"/>
  <c r="V3" i="8"/>
  <c r="U3" i="8"/>
  <c r="T3" i="8"/>
  <c r="S3" i="8"/>
  <c r="AD4" i="10"/>
  <c r="AD5" i="10"/>
  <c r="AD6" i="10"/>
  <c r="AD7" i="10"/>
  <c r="AD12" i="10"/>
  <c r="AD13" i="10"/>
  <c r="AD14" i="10"/>
  <c r="AD15" i="10"/>
  <c r="AD16" i="10"/>
  <c r="AD17" i="10"/>
  <c r="AD18" i="10"/>
  <c r="AD19" i="10"/>
  <c r="AD21" i="10"/>
  <c r="AD22" i="10"/>
  <c r="AD24" i="10"/>
  <c r="AD25" i="10"/>
  <c r="AD26" i="10"/>
  <c r="AD27" i="10"/>
  <c r="AD28" i="10"/>
  <c r="AD29" i="10"/>
  <c r="AD30" i="10"/>
  <c r="AD31" i="10"/>
  <c r="AD32" i="10"/>
  <c r="AD3" i="10"/>
  <c r="AC4" i="10"/>
  <c r="AC5" i="10"/>
  <c r="AC6" i="10"/>
  <c r="AC7" i="10"/>
  <c r="AC12" i="10"/>
  <c r="AC13" i="10"/>
  <c r="AC14" i="10"/>
  <c r="AC15" i="10"/>
  <c r="AC16" i="10"/>
  <c r="AC17" i="10"/>
  <c r="AC18" i="10"/>
  <c r="AC19" i="10"/>
  <c r="AC21" i="10"/>
  <c r="AC22" i="10"/>
  <c r="AC24" i="10"/>
  <c r="AC25" i="10"/>
  <c r="AC26" i="10"/>
  <c r="AC27" i="10"/>
  <c r="AC28" i="10"/>
  <c r="AC29" i="10"/>
  <c r="AC30" i="10"/>
  <c r="AC31" i="10"/>
  <c r="AC32" i="10"/>
  <c r="AC3" i="10"/>
  <c r="AB3" i="10"/>
  <c r="AB4" i="10"/>
  <c r="AB5" i="10"/>
  <c r="AB6" i="10"/>
  <c r="AB7" i="10"/>
  <c r="AB12" i="10"/>
  <c r="AB13" i="10"/>
  <c r="AB14" i="10"/>
  <c r="AB15" i="10"/>
  <c r="AB16" i="10"/>
  <c r="AB17" i="10"/>
  <c r="AB18" i="10"/>
  <c r="AB19" i="10"/>
  <c r="AB21" i="10"/>
  <c r="AB22" i="10"/>
  <c r="AB24" i="10"/>
  <c r="AB25" i="10"/>
  <c r="AB26" i="10"/>
  <c r="AB27" i="10"/>
  <c r="AB28" i="10"/>
  <c r="AB29" i="10"/>
  <c r="AB30" i="10"/>
  <c r="AB31" i="10"/>
  <c r="AB32" i="10"/>
  <c r="AA4" i="10"/>
  <c r="AA5" i="10"/>
  <c r="AA6" i="10"/>
  <c r="AA7" i="10"/>
  <c r="AA12" i="10"/>
  <c r="AA13" i="10"/>
  <c r="AA14" i="10"/>
  <c r="AA15" i="10"/>
  <c r="AA16" i="10"/>
  <c r="AA17" i="10"/>
  <c r="AA18" i="10"/>
  <c r="AA19" i="10"/>
  <c r="AA21" i="10"/>
  <c r="AA22" i="10"/>
  <c r="AA24" i="10"/>
  <c r="AA25" i="10"/>
  <c r="AA26" i="10"/>
  <c r="AA27" i="10"/>
  <c r="AA28" i="10"/>
  <c r="AA29" i="10"/>
  <c r="AA30" i="10"/>
  <c r="AA31" i="10"/>
  <c r="AA32" i="10"/>
  <c r="AA3" i="10"/>
  <c r="T3" i="10"/>
  <c r="U3" i="10"/>
  <c r="V3" i="10"/>
  <c r="W3" i="10"/>
  <c r="X3" i="10"/>
  <c r="Y3" i="10"/>
  <c r="Z3" i="10"/>
  <c r="T4" i="10"/>
  <c r="U4" i="10"/>
  <c r="V4" i="10"/>
  <c r="W4" i="10"/>
  <c r="X4" i="10"/>
  <c r="Y4" i="10"/>
  <c r="Z4" i="10"/>
  <c r="T5" i="10"/>
  <c r="U5" i="10"/>
  <c r="V5" i="10"/>
  <c r="W5" i="10"/>
  <c r="X5" i="10"/>
  <c r="Y5" i="10"/>
  <c r="Z5" i="10"/>
  <c r="T6" i="10"/>
  <c r="U6" i="10"/>
  <c r="V6" i="10"/>
  <c r="W6" i="10"/>
  <c r="X6" i="10"/>
  <c r="Y6" i="10"/>
  <c r="Z6" i="10"/>
  <c r="T7" i="10"/>
  <c r="U7" i="10"/>
  <c r="V7" i="10"/>
  <c r="W7" i="10"/>
  <c r="X7" i="10"/>
  <c r="Y7" i="10"/>
  <c r="Z7" i="10"/>
  <c r="T12" i="10"/>
  <c r="U12" i="10"/>
  <c r="V12" i="10"/>
  <c r="W12" i="10"/>
  <c r="X12" i="10"/>
  <c r="Y12" i="10"/>
  <c r="Z12" i="10"/>
  <c r="T13" i="10"/>
  <c r="U13" i="10"/>
  <c r="V13" i="10"/>
  <c r="W13" i="10"/>
  <c r="X13" i="10"/>
  <c r="Y13" i="10"/>
  <c r="Z13" i="10"/>
  <c r="T14" i="10"/>
  <c r="U14" i="10"/>
  <c r="V14" i="10"/>
  <c r="W14" i="10"/>
  <c r="X14" i="10"/>
  <c r="Y14" i="10"/>
  <c r="Z14" i="10"/>
  <c r="T15" i="10"/>
  <c r="U15" i="10"/>
  <c r="V15" i="10"/>
  <c r="W15" i="10"/>
  <c r="X15" i="10"/>
  <c r="Y15" i="10"/>
  <c r="Z15" i="10"/>
  <c r="T16" i="10"/>
  <c r="U16" i="10"/>
  <c r="V16" i="10"/>
  <c r="W16" i="10"/>
  <c r="X16" i="10"/>
  <c r="Y16" i="10"/>
  <c r="Z16" i="10"/>
  <c r="T17" i="10"/>
  <c r="U17" i="10"/>
  <c r="V17" i="10"/>
  <c r="W17" i="10"/>
  <c r="X17" i="10"/>
  <c r="Y17" i="10"/>
  <c r="Z17" i="10"/>
  <c r="T18" i="10"/>
  <c r="U18" i="10"/>
  <c r="V18" i="10"/>
  <c r="W18" i="10"/>
  <c r="X18" i="10"/>
  <c r="Y18" i="10"/>
  <c r="Z18" i="10"/>
  <c r="T19" i="10"/>
  <c r="U19" i="10"/>
  <c r="V19" i="10"/>
  <c r="W19" i="10"/>
  <c r="X19" i="10"/>
  <c r="Y19" i="10"/>
  <c r="Z19" i="10"/>
  <c r="T21" i="10"/>
  <c r="U21" i="10"/>
  <c r="V21" i="10"/>
  <c r="W21" i="10"/>
  <c r="X21" i="10"/>
  <c r="Y21" i="10"/>
  <c r="Z21" i="10"/>
  <c r="T22" i="10"/>
  <c r="U22" i="10"/>
  <c r="V22" i="10"/>
  <c r="W22" i="10"/>
  <c r="X22" i="10"/>
  <c r="Y22" i="10"/>
  <c r="Z22" i="10"/>
  <c r="T24" i="10"/>
  <c r="U24" i="10"/>
  <c r="V24" i="10"/>
  <c r="W24" i="10"/>
  <c r="X24" i="10"/>
  <c r="Y24" i="10"/>
  <c r="Z24" i="10"/>
  <c r="T25" i="10"/>
  <c r="U25" i="10"/>
  <c r="V25" i="10"/>
  <c r="W25" i="10"/>
  <c r="X25" i="10"/>
  <c r="Y25" i="10"/>
  <c r="Z25" i="10"/>
  <c r="T26" i="10"/>
  <c r="U26" i="10"/>
  <c r="V26" i="10"/>
  <c r="W26" i="10"/>
  <c r="X26" i="10"/>
  <c r="Y26" i="10"/>
  <c r="Z26" i="10"/>
  <c r="T27" i="10"/>
  <c r="U27" i="10"/>
  <c r="V27" i="10"/>
  <c r="W27" i="10"/>
  <c r="X27" i="10"/>
  <c r="Y27" i="10"/>
  <c r="Z27" i="10"/>
  <c r="T28" i="10"/>
  <c r="U28" i="10"/>
  <c r="V28" i="10"/>
  <c r="W28" i="10"/>
  <c r="X28" i="10"/>
  <c r="Y28" i="10"/>
  <c r="Z28" i="10"/>
  <c r="T29" i="10"/>
  <c r="U29" i="10"/>
  <c r="V29" i="10"/>
  <c r="W29" i="10"/>
  <c r="X29" i="10"/>
  <c r="Y29" i="10"/>
  <c r="Z29" i="10"/>
  <c r="T30" i="10"/>
  <c r="U30" i="10"/>
  <c r="V30" i="10"/>
  <c r="W30" i="10"/>
  <c r="X30" i="10"/>
  <c r="Y30" i="10"/>
  <c r="Z30" i="10"/>
  <c r="T31" i="10"/>
  <c r="U31" i="10"/>
  <c r="V31" i="10"/>
  <c r="W31" i="10"/>
  <c r="X31" i="10"/>
  <c r="Y31" i="10"/>
  <c r="Z31" i="10"/>
  <c r="T32" i="10"/>
  <c r="U32" i="10"/>
  <c r="V32" i="10"/>
  <c r="W32" i="10"/>
  <c r="X32" i="10"/>
  <c r="Y32" i="10"/>
  <c r="Z32" i="10"/>
  <c r="S4" i="10"/>
  <c r="S5" i="10"/>
  <c r="S6" i="10"/>
  <c r="S7" i="10"/>
  <c r="S12" i="10"/>
  <c r="S13" i="10"/>
  <c r="S14" i="10"/>
  <c r="S15" i="10"/>
  <c r="S16" i="10"/>
  <c r="S17" i="10"/>
  <c r="S18" i="10"/>
  <c r="S19" i="10"/>
  <c r="S21" i="10"/>
  <c r="S22" i="10"/>
  <c r="S24" i="10"/>
  <c r="S25" i="10"/>
  <c r="S26" i="10"/>
  <c r="S27" i="10"/>
  <c r="S28" i="10"/>
  <c r="S29" i="10"/>
  <c r="S30" i="10"/>
  <c r="S31" i="10"/>
  <c r="S32" i="10"/>
  <c r="S3" i="10"/>
  <c r="AF46" i="8" l="1"/>
  <c r="AG46" i="8"/>
  <c r="AK25" i="8"/>
  <c r="AI25" i="8"/>
  <c r="AJ25" i="8"/>
  <c r="AO25" i="8"/>
  <c r="AL25" i="8"/>
  <c r="AR25" i="8"/>
  <c r="AM25" i="8"/>
  <c r="AH25" i="8"/>
  <c r="AS25" i="8"/>
  <c r="AN25" i="8"/>
  <c r="AO16" i="8"/>
  <c r="AM16" i="8"/>
  <c r="AN16" i="8"/>
  <c r="AJ16" i="8"/>
  <c r="AL16" i="8"/>
  <c r="AS16" i="8"/>
  <c r="AH16" i="8"/>
  <c r="AK16" i="8"/>
  <c r="AR16" i="8"/>
  <c r="AI16" i="8"/>
  <c r="AJ22" i="8"/>
  <c r="AO22" i="8"/>
  <c r="AI22" i="8"/>
  <c r="AS22" i="8"/>
  <c r="AR22" i="8"/>
  <c r="AN22" i="8"/>
  <c r="AL22" i="8"/>
  <c r="AH22" i="8"/>
  <c r="AK22" i="8"/>
  <c r="AM22" i="8"/>
  <c r="AJ19" i="8"/>
  <c r="AH19" i="8"/>
  <c r="AL19" i="8"/>
  <c r="AN19" i="8"/>
  <c r="AS19" i="8"/>
  <c r="AI19" i="8"/>
  <c r="AK19" i="8"/>
  <c r="AR19" i="8"/>
  <c r="AO19" i="8"/>
  <c r="AM19" i="8"/>
  <c r="AN31" i="8"/>
  <c r="AM31" i="8"/>
  <c r="AJ31" i="8"/>
  <c r="AL31" i="8"/>
  <c r="AK31" i="8"/>
  <c r="AH31" i="8"/>
  <c r="AR31" i="8"/>
  <c r="AO31" i="8"/>
  <c r="AS31" i="8"/>
  <c r="AI31" i="8"/>
  <c r="AR28" i="8"/>
  <c r="AN28" i="8"/>
  <c r="AK28" i="8"/>
  <c r="AL28" i="8"/>
  <c r="AJ28" i="8"/>
  <c r="AO28" i="8"/>
  <c r="AH28" i="8"/>
  <c r="AS28" i="8"/>
  <c r="AM28" i="8"/>
  <c r="AI28" i="8"/>
  <c r="Z157" i="13"/>
  <c r="AB157" i="13"/>
  <c r="AB181" i="13"/>
  <c r="Z144" i="13"/>
  <c r="AU57" i="13"/>
  <c r="AA144" i="13"/>
  <c r="AV57" i="13"/>
  <c r="AB144" i="13"/>
  <c r="AW57" i="13"/>
  <c r="AA157" i="13"/>
  <c r="Z181" i="13"/>
  <c r="AA18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AS51" i="13"/>
  <c r="AT51" i="13"/>
  <c r="AX51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AS52" i="13"/>
  <c r="AT52" i="13"/>
  <c r="AX52" i="13"/>
  <c r="AE52" i="13"/>
  <c r="O10" i="11"/>
  <c r="P10" i="11" s="1"/>
  <c r="O11" i="11"/>
  <c r="P11" i="11" s="1"/>
  <c r="O12" i="11"/>
  <c r="P12" i="11" s="1"/>
  <c r="O13" i="11"/>
  <c r="P13" i="11" s="1"/>
  <c r="AH150" i="13"/>
  <c r="AI150" i="13"/>
  <c r="AJ150" i="13"/>
  <c r="AK150" i="13"/>
  <c r="AH174" i="13"/>
  <c r="AI174" i="13"/>
  <c r="AJ174" i="13"/>
  <c r="AK174" i="13"/>
  <c r="AH234" i="13"/>
  <c r="AH235" i="13" s="1"/>
  <c r="AK66" i="13" s="1"/>
  <c r="AI234" i="13"/>
  <c r="AJ234" i="13"/>
  <c r="AK234" i="13"/>
  <c r="AK235" i="13" s="1"/>
  <c r="AK236" i="13" s="1"/>
  <c r="AK237" i="13" s="1"/>
  <c r="AK238" i="13" s="1"/>
  <c r="AK239" i="13" s="1"/>
  <c r="AK240" i="13" s="1"/>
  <c r="AK241" i="13" s="1"/>
  <c r="AK242" i="13" s="1"/>
  <c r="AK243" i="13" s="1"/>
  <c r="AK244" i="13" s="1"/>
  <c r="AK245" i="13" s="1"/>
  <c r="AK246" i="13" s="1"/>
  <c r="AK247" i="13" s="1"/>
  <c r="AK248" i="13" s="1"/>
  <c r="AK249" i="13" s="1"/>
  <c r="AK250" i="13" s="1"/>
  <c r="AK251" i="13" s="1"/>
  <c r="AK252" i="13" s="1"/>
  <c r="AK253" i="13" s="1"/>
  <c r="AK254" i="13" s="1"/>
  <c r="AK255" i="13" s="1"/>
  <c r="AK256" i="13" s="1"/>
  <c r="AK257" i="13" s="1"/>
  <c r="AK258" i="13" s="1"/>
  <c r="AK259" i="13" s="1"/>
  <c r="AK260" i="13" s="1"/>
  <c r="AK261" i="13" s="1"/>
  <c r="AK262" i="13" s="1"/>
  <c r="AK263" i="13" s="1"/>
  <c r="AK264" i="13" s="1"/>
  <c r="AK265" i="13" s="1"/>
  <c r="AK266" i="13" s="1"/>
  <c r="AK267" i="13" s="1"/>
  <c r="AK268" i="13" s="1"/>
  <c r="AK269" i="13" s="1"/>
  <c r="AK270" i="13" s="1"/>
  <c r="AK271" i="13" s="1"/>
  <c r="AK272" i="13" s="1"/>
  <c r="AK273" i="13" s="1"/>
  <c r="AK274" i="13" s="1"/>
  <c r="AK275" i="13" s="1"/>
  <c r="AK276" i="13" s="1"/>
  <c r="AK277" i="13" s="1"/>
  <c r="AK278" i="13" s="1"/>
  <c r="AK279" i="13" s="1"/>
  <c r="AK280" i="13" s="1"/>
  <c r="AK281" i="13" s="1"/>
  <c r="AK282" i="13" s="1"/>
  <c r="X150" i="13"/>
  <c r="O6" i="11"/>
  <c r="O7" i="11"/>
  <c r="O8" i="11"/>
  <c r="O9" i="11"/>
  <c r="O14" i="11"/>
  <c r="O15" i="11"/>
  <c r="O16" i="11"/>
  <c r="O17" i="11"/>
  <c r="O18" i="11"/>
  <c r="O19" i="11"/>
  <c r="O5" i="11"/>
  <c r="G38" i="13"/>
  <c r="AK114" i="13" s="1"/>
  <c r="F38" i="13"/>
  <c r="AK132" i="13" s="1"/>
  <c r="G37" i="13"/>
  <c r="AJ114" i="13" s="1"/>
  <c r="F37" i="13"/>
  <c r="AJ132" i="13" s="1"/>
  <c r="G36" i="13"/>
  <c r="AI114" i="13" s="1"/>
  <c r="F36" i="13"/>
  <c r="AI132" i="13" s="1"/>
  <c r="G35" i="13"/>
  <c r="AH114" i="13" s="1"/>
  <c r="F35" i="13"/>
  <c r="AH132" i="13" s="1"/>
  <c r="G34" i="13"/>
  <c r="AG114" i="13" s="1"/>
  <c r="F34" i="13"/>
  <c r="AG132" i="13" s="1"/>
  <c r="G33" i="13"/>
  <c r="AF114" i="13" s="1"/>
  <c r="F33" i="13"/>
  <c r="AF132" i="13" s="1"/>
  <c r="F32" i="13"/>
  <c r="AE132" i="13" s="1"/>
  <c r="G32" i="13"/>
  <c r="AE114" i="13" s="1"/>
  <c r="G31" i="13"/>
  <c r="AD114" i="13" s="1"/>
  <c r="F31" i="13"/>
  <c r="AD132" i="13" s="1"/>
  <c r="G30" i="13"/>
  <c r="AC114" i="13" s="1"/>
  <c r="F30" i="13"/>
  <c r="AC132" i="13" s="1"/>
  <c r="F19" i="13"/>
  <c r="R132" i="13" s="1"/>
  <c r="E19" i="13"/>
  <c r="F18" i="13"/>
  <c r="Q132" i="13" s="1"/>
  <c r="E18" i="13"/>
  <c r="E17" i="13"/>
  <c r="F17" i="13"/>
  <c r="P132" i="13" s="1"/>
  <c r="F16" i="13"/>
  <c r="O132" i="13" s="1"/>
  <c r="E16" i="13"/>
  <c r="F15" i="13"/>
  <c r="N132" i="13" s="1"/>
  <c r="E15" i="13"/>
  <c r="N150" i="13" s="1"/>
  <c r="AA182" i="13" l="1"/>
  <c r="AA158" i="13"/>
  <c r="AB158" i="13"/>
  <c r="Z182" i="13"/>
  <c r="AA143" i="13"/>
  <c r="Z143" i="13"/>
  <c r="AB143" i="13"/>
  <c r="AB182" i="13"/>
  <c r="Z158" i="13"/>
  <c r="AN69" i="13"/>
  <c r="AN68" i="13"/>
  <c r="AN67" i="13"/>
  <c r="AN66" i="13"/>
  <c r="AN70" i="13"/>
  <c r="AH113" i="13"/>
  <c r="AJ113" i="13"/>
  <c r="AH236" i="13"/>
  <c r="AH175" i="13"/>
  <c r="AK60" i="13" s="1"/>
  <c r="AH151" i="13"/>
  <c r="AJ175" i="13"/>
  <c r="AM60" i="13" s="1"/>
  <c r="AJ151" i="13"/>
  <c r="AI235" i="13"/>
  <c r="AL66" i="13" s="1"/>
  <c r="AI131" i="13"/>
  <c r="AK131" i="13"/>
  <c r="AH131" i="13"/>
  <c r="AJ131" i="13"/>
  <c r="AK149" i="13"/>
  <c r="AK113" i="13"/>
  <c r="AJ235" i="13"/>
  <c r="AM66" i="13" s="1"/>
  <c r="AJ149" i="13"/>
  <c r="AI113" i="13"/>
  <c r="AK175" i="13"/>
  <c r="AN60" i="13" s="1"/>
  <c r="AK151" i="13"/>
  <c r="AH149" i="13"/>
  <c r="AI151" i="13"/>
  <c r="AI149" i="13"/>
  <c r="AI175" i="13"/>
  <c r="AL60" i="13" s="1"/>
  <c r="AC131" i="13"/>
  <c r="AC130" i="13" s="1"/>
  <c r="AC129" i="13" s="1"/>
  <c r="AC128" i="13" s="1"/>
  <c r="AC127" i="13" s="1"/>
  <c r="AC126" i="13" s="1"/>
  <c r="AC125" i="13" s="1"/>
  <c r="AG131" i="13"/>
  <c r="AG130" i="13" s="1"/>
  <c r="AG129" i="13" s="1"/>
  <c r="AG128" i="13" s="1"/>
  <c r="AG127" i="13" s="1"/>
  <c r="AG126" i="13" s="1"/>
  <c r="AG125" i="13" s="1"/>
  <c r="AE131" i="13"/>
  <c r="AE130" i="13" s="1"/>
  <c r="AE129" i="13" s="1"/>
  <c r="AE128" i="13" s="1"/>
  <c r="AE127" i="13" s="1"/>
  <c r="AE126" i="13" s="1"/>
  <c r="AE125" i="13" s="1"/>
  <c r="N149" i="13"/>
  <c r="N148" i="13" s="1"/>
  <c r="N147" i="13" s="1"/>
  <c r="N146" i="13" s="1"/>
  <c r="N145" i="13" s="1"/>
  <c r="N144" i="13" s="1"/>
  <c r="N143" i="13" s="1"/>
  <c r="N142" i="13" s="1"/>
  <c r="N141" i="13" s="1"/>
  <c r="N140" i="13" s="1"/>
  <c r="N139" i="13" s="1"/>
  <c r="N138" i="13" s="1"/>
  <c r="N137" i="13" s="1"/>
  <c r="N136" i="13" s="1"/>
  <c r="N135" i="13" s="1"/>
  <c r="N134" i="13" s="1"/>
  <c r="N133" i="13" s="1"/>
  <c r="AD131" i="13"/>
  <c r="AD130" i="13" s="1"/>
  <c r="AD129" i="13" s="1"/>
  <c r="AD128" i="13" s="1"/>
  <c r="AD127" i="13" s="1"/>
  <c r="AD126" i="13" s="1"/>
  <c r="AD125" i="13" s="1"/>
  <c r="AF131" i="13"/>
  <c r="AF130" i="13" s="1"/>
  <c r="AF129" i="13" s="1"/>
  <c r="AF128" i="13" s="1"/>
  <c r="AF127" i="13" s="1"/>
  <c r="AF126" i="13" s="1"/>
  <c r="AF125" i="13" s="1"/>
  <c r="Z183" i="13" l="1"/>
  <c r="AB183" i="13"/>
  <c r="Z142" i="13"/>
  <c r="AA159" i="13"/>
  <c r="Z159" i="13"/>
  <c r="AB142" i="13"/>
  <c r="AA142" i="13"/>
  <c r="AB159" i="13"/>
  <c r="AA183" i="13"/>
  <c r="AF124" i="13"/>
  <c r="AF123" i="13" s="1"/>
  <c r="AF122" i="13" s="1"/>
  <c r="AF121" i="13" s="1"/>
  <c r="AF120" i="13" s="1"/>
  <c r="AF119" i="13" s="1"/>
  <c r="AF118" i="13" s="1"/>
  <c r="AF117" i="13" s="1"/>
  <c r="AF116" i="13" s="1"/>
  <c r="AF115" i="13" s="1"/>
  <c r="AI54" i="13" s="1"/>
  <c r="AI55" i="13"/>
  <c r="AG124" i="13"/>
  <c r="AG123" i="13" s="1"/>
  <c r="AG122" i="13" s="1"/>
  <c r="AG121" i="13" s="1"/>
  <c r="AG120" i="13" s="1"/>
  <c r="AG119" i="13" s="1"/>
  <c r="AG118" i="13" s="1"/>
  <c r="AG117" i="13" s="1"/>
  <c r="AG116" i="13" s="1"/>
  <c r="AG115" i="13" s="1"/>
  <c r="AJ54" i="13" s="1"/>
  <c r="AJ55" i="13"/>
  <c r="AD124" i="13"/>
  <c r="AD123" i="13" s="1"/>
  <c r="AD122" i="13" s="1"/>
  <c r="AD121" i="13" s="1"/>
  <c r="AD120" i="13" s="1"/>
  <c r="AD119" i="13" s="1"/>
  <c r="AD118" i="13" s="1"/>
  <c r="AD117" i="13" s="1"/>
  <c r="AD116" i="13" s="1"/>
  <c r="AD115" i="13" s="1"/>
  <c r="AG54" i="13" s="1"/>
  <c r="AG55" i="13"/>
  <c r="AC124" i="13"/>
  <c r="AC123" i="13" s="1"/>
  <c r="AC122" i="13" s="1"/>
  <c r="AC121" i="13" s="1"/>
  <c r="AC120" i="13" s="1"/>
  <c r="AC119" i="13" s="1"/>
  <c r="AC118" i="13" s="1"/>
  <c r="AC117" i="13" s="1"/>
  <c r="AC116" i="13" s="1"/>
  <c r="AC115" i="13" s="1"/>
  <c r="AF54" i="13" s="1"/>
  <c r="AF55" i="13"/>
  <c r="AE124" i="13"/>
  <c r="AE123" i="13" s="1"/>
  <c r="AE122" i="13" s="1"/>
  <c r="AE121" i="13" s="1"/>
  <c r="AE120" i="13" s="1"/>
  <c r="AE119" i="13" s="1"/>
  <c r="AE118" i="13" s="1"/>
  <c r="AE117" i="13" s="1"/>
  <c r="AE116" i="13" s="1"/>
  <c r="AE115" i="13" s="1"/>
  <c r="AH54" i="13" s="1"/>
  <c r="AH55" i="13"/>
  <c r="AH148" i="13"/>
  <c r="AJ148" i="13"/>
  <c r="AJ130" i="13"/>
  <c r="AK152" i="13"/>
  <c r="AJ152" i="13"/>
  <c r="AH237" i="13"/>
  <c r="AH112" i="13"/>
  <c r="AI148" i="13"/>
  <c r="AK176" i="13"/>
  <c r="AK112" i="13"/>
  <c r="AK130" i="13"/>
  <c r="AI176" i="13"/>
  <c r="AJ236" i="13"/>
  <c r="AH130" i="13"/>
  <c r="AH152" i="13"/>
  <c r="AI152" i="13"/>
  <c r="AI112" i="13"/>
  <c r="AK148" i="13"/>
  <c r="AI130" i="13"/>
  <c r="AI236" i="13"/>
  <c r="AJ176" i="13"/>
  <c r="AH176" i="13"/>
  <c r="AJ112" i="13"/>
  <c r="AC150" i="13"/>
  <c r="AC149" i="13" s="1"/>
  <c r="AC148" i="13" s="1"/>
  <c r="AC147" i="13" s="1"/>
  <c r="AC146" i="13" s="1"/>
  <c r="AC145" i="13" s="1"/>
  <c r="AD150" i="13"/>
  <c r="AE150" i="13"/>
  <c r="AF150" i="13"/>
  <c r="AG150" i="13"/>
  <c r="AL150" i="13"/>
  <c r="AM150" i="13"/>
  <c r="AN150" i="13"/>
  <c r="AO150" i="13"/>
  <c r="AP150" i="13"/>
  <c r="AQ150" i="13"/>
  <c r="AD174" i="13"/>
  <c r="AE174" i="13"/>
  <c r="AF174" i="13"/>
  <c r="AG174" i="13"/>
  <c r="AL174" i="13"/>
  <c r="AM174" i="13"/>
  <c r="AN174" i="13"/>
  <c r="AO174" i="13"/>
  <c r="AP174" i="13"/>
  <c r="AQ174" i="13"/>
  <c r="AD234" i="13"/>
  <c r="AD235" i="13" s="1"/>
  <c r="AG66" i="13" s="1"/>
  <c r="AE234" i="13"/>
  <c r="AF234" i="13"/>
  <c r="AG234" i="13"/>
  <c r="AG235" i="13" s="1"/>
  <c r="AJ66" i="13" s="1"/>
  <c r="AL234" i="13"/>
  <c r="AM234" i="13"/>
  <c r="AM235" i="13" s="1"/>
  <c r="AP66" i="13" s="1"/>
  <c r="AN234" i="13"/>
  <c r="AO234" i="13"/>
  <c r="AP234" i="13"/>
  <c r="AQ234" i="13"/>
  <c r="AQ235" i="13" s="1"/>
  <c r="AT66" i="13" s="1"/>
  <c r="AC234" i="13"/>
  <c r="AC235" i="13" s="1"/>
  <c r="AF66" i="13" s="1"/>
  <c r="AC174" i="13"/>
  <c r="AB160" i="13" l="1"/>
  <c r="AB141" i="13"/>
  <c r="AA160" i="13"/>
  <c r="AB184" i="13"/>
  <c r="AA184" i="13"/>
  <c r="AA141" i="13"/>
  <c r="Z160" i="13"/>
  <c r="Z141" i="13"/>
  <c r="Z184" i="13"/>
  <c r="AC144" i="13"/>
  <c r="AC143" i="13" s="1"/>
  <c r="AC142" i="13" s="1"/>
  <c r="AC141" i="13" s="1"/>
  <c r="AC140" i="13" s="1"/>
  <c r="AC139" i="13" s="1"/>
  <c r="AC138" i="13" s="1"/>
  <c r="AC137" i="13" s="1"/>
  <c r="AC136" i="13" s="1"/>
  <c r="AC135" i="13" s="1"/>
  <c r="AF57" i="13"/>
  <c r="AJ177" i="13"/>
  <c r="AK111" i="13"/>
  <c r="AI147" i="13"/>
  <c r="AH238" i="13"/>
  <c r="AK153" i="13"/>
  <c r="AH177" i="13"/>
  <c r="AI111" i="13"/>
  <c r="AJ237" i="13"/>
  <c r="AJ147" i="13"/>
  <c r="AK129" i="13"/>
  <c r="AK177" i="13"/>
  <c r="AH111" i="13"/>
  <c r="AJ153" i="13"/>
  <c r="AI129" i="13"/>
  <c r="AH153" i="13"/>
  <c r="AJ111" i="13"/>
  <c r="AI237" i="13"/>
  <c r="AK147" i="13"/>
  <c r="AI153" i="13"/>
  <c r="AH129" i="13"/>
  <c r="AI177" i="13"/>
  <c r="AJ129" i="13"/>
  <c r="AH147" i="13"/>
  <c r="AG149" i="13"/>
  <c r="AG148" i="13" s="1"/>
  <c r="AG147" i="13" s="1"/>
  <c r="AG146" i="13" s="1"/>
  <c r="AG145" i="13" s="1"/>
  <c r="AG113" i="13"/>
  <c r="AG112" i="13" s="1"/>
  <c r="AG111" i="13" s="1"/>
  <c r="AG110" i="13" s="1"/>
  <c r="AG109" i="13" s="1"/>
  <c r="AG108" i="13" s="1"/>
  <c r="AG107" i="13" s="1"/>
  <c r="AG106" i="13" s="1"/>
  <c r="AG105" i="13" s="1"/>
  <c r="AE149" i="13"/>
  <c r="AE148" i="13" s="1"/>
  <c r="AE147" i="13" s="1"/>
  <c r="AE146" i="13" s="1"/>
  <c r="AE145" i="13" s="1"/>
  <c r="AE113" i="13"/>
  <c r="AE112" i="13" s="1"/>
  <c r="AE111" i="13" s="1"/>
  <c r="AE110" i="13" s="1"/>
  <c r="AE109" i="13" s="1"/>
  <c r="AE108" i="13" s="1"/>
  <c r="AE107" i="13" s="1"/>
  <c r="AE106" i="13" s="1"/>
  <c r="AE105" i="13" s="1"/>
  <c r="AF149" i="13"/>
  <c r="AF148" i="13" s="1"/>
  <c r="AF147" i="13" s="1"/>
  <c r="AF146" i="13" s="1"/>
  <c r="AF145" i="13" s="1"/>
  <c r="AF113" i="13"/>
  <c r="AF112" i="13" s="1"/>
  <c r="AF111" i="13" s="1"/>
  <c r="AF110" i="13" s="1"/>
  <c r="AF109" i="13" s="1"/>
  <c r="AF108" i="13" s="1"/>
  <c r="AF107" i="13" s="1"/>
  <c r="AF106" i="13" s="1"/>
  <c r="AF105" i="13" s="1"/>
  <c r="AD149" i="13"/>
  <c r="AD148" i="13" s="1"/>
  <c r="AD147" i="13" s="1"/>
  <c r="AD146" i="13" s="1"/>
  <c r="AD145" i="13" s="1"/>
  <c r="AD113" i="13"/>
  <c r="AD112" i="13" s="1"/>
  <c r="AD111" i="13" s="1"/>
  <c r="AD110" i="13" s="1"/>
  <c r="AD109" i="13" s="1"/>
  <c r="AD108" i="13" s="1"/>
  <c r="AD107" i="13" s="1"/>
  <c r="AD106" i="13" s="1"/>
  <c r="AD105" i="13" s="1"/>
  <c r="AN175" i="13"/>
  <c r="AQ236" i="13"/>
  <c r="AD236" i="13"/>
  <c r="AM236" i="13"/>
  <c r="AC236" i="13"/>
  <c r="AP235" i="13"/>
  <c r="AS66" i="13" s="1"/>
  <c r="AG236" i="13"/>
  <c r="AL235" i="13"/>
  <c r="AO66" i="13" s="1"/>
  <c r="AN149" i="13"/>
  <c r="AO235" i="13"/>
  <c r="AR66" i="13" s="1"/>
  <c r="AQ149" i="13"/>
  <c r="AN235" i="13"/>
  <c r="AQ66" i="13" s="1"/>
  <c r="AF235" i="13"/>
  <c r="AI66" i="13" s="1"/>
  <c r="AP149" i="13"/>
  <c r="AL149" i="13"/>
  <c r="AM149" i="13"/>
  <c r="AE235" i="13"/>
  <c r="AH66" i="13" s="1"/>
  <c r="AO149" i="13"/>
  <c r="AC175" i="13"/>
  <c r="AF60" i="13" s="1"/>
  <c r="AP151" i="13"/>
  <c r="AL175" i="13"/>
  <c r="AO60" i="13" s="1"/>
  <c r="AD151" i="13"/>
  <c r="AO175" i="13"/>
  <c r="AR60" i="13" s="1"/>
  <c r="AL151" i="13"/>
  <c r="AP175" i="13"/>
  <c r="AS60" i="13" s="1"/>
  <c r="AD175" i="13"/>
  <c r="AG60" i="13" s="1"/>
  <c r="AG151" i="13"/>
  <c r="AG175" i="13"/>
  <c r="AJ60" i="13" s="1"/>
  <c r="AF151" i="13"/>
  <c r="AF175" i="13"/>
  <c r="AI60" i="13" s="1"/>
  <c r="AN151" i="13"/>
  <c r="AQ175" i="13"/>
  <c r="AT60" i="13" s="1"/>
  <c r="AM175" i="13"/>
  <c r="AP60" i="13" s="1"/>
  <c r="AE175" i="13"/>
  <c r="AH60" i="13" s="1"/>
  <c r="AQ151" i="13"/>
  <c r="AM151" i="13"/>
  <c r="AE151" i="13"/>
  <c r="AO151" i="13"/>
  <c r="AC151" i="13"/>
  <c r="X24" i="11"/>
  <c r="Y24" i="11" s="1"/>
  <c r="X25" i="11"/>
  <c r="Y25" i="11" s="1"/>
  <c r="X26" i="11"/>
  <c r="Y26" i="11" s="1"/>
  <c r="X27" i="11"/>
  <c r="Y27" i="11" s="1"/>
  <c r="X28" i="11"/>
  <c r="Y28" i="11" s="1"/>
  <c r="X29" i="11"/>
  <c r="Y29" i="11" s="1"/>
  <c r="O23" i="11"/>
  <c r="P23" i="11" s="1"/>
  <c r="O24" i="11"/>
  <c r="P24" i="11" s="1"/>
  <c r="O25" i="11"/>
  <c r="P25" i="11" s="1"/>
  <c r="O26" i="11"/>
  <c r="P26" i="11" s="1"/>
  <c r="O27" i="11"/>
  <c r="P27" i="11" s="1"/>
  <c r="O28" i="11"/>
  <c r="P28" i="11" s="1"/>
  <c r="O29" i="11"/>
  <c r="P29" i="11" s="1"/>
  <c r="O30" i="11"/>
  <c r="P30" i="11" s="1"/>
  <c r="O31" i="11"/>
  <c r="P31" i="11" s="1"/>
  <c r="O32" i="11"/>
  <c r="P32" i="11" s="1"/>
  <c r="O33" i="11"/>
  <c r="P33" i="11" s="1"/>
  <c r="X23" i="11"/>
  <c r="Y23" i="11" s="1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Y51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Y52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Y53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Y54" i="13"/>
  <c r="I54" i="13"/>
  <c r="I53" i="13"/>
  <c r="I52" i="13"/>
  <c r="I51" i="13"/>
  <c r="C150" i="13"/>
  <c r="D150" i="13"/>
  <c r="E150" i="13"/>
  <c r="F150" i="13"/>
  <c r="G150" i="13"/>
  <c r="H150" i="13"/>
  <c r="I150" i="13"/>
  <c r="J150" i="13"/>
  <c r="K150" i="13"/>
  <c r="L150" i="13"/>
  <c r="M150" i="13"/>
  <c r="O150" i="13"/>
  <c r="O149" i="13" s="1"/>
  <c r="O148" i="13" s="1"/>
  <c r="O147" i="13" s="1"/>
  <c r="O146" i="13" s="1"/>
  <c r="O145" i="13" s="1"/>
  <c r="O144" i="13" s="1"/>
  <c r="O143" i="13" s="1"/>
  <c r="O142" i="13" s="1"/>
  <c r="O141" i="13" s="1"/>
  <c r="O140" i="13" s="1"/>
  <c r="O139" i="13" s="1"/>
  <c r="O138" i="13" s="1"/>
  <c r="O137" i="13" s="1"/>
  <c r="O136" i="13" s="1"/>
  <c r="O135" i="13" s="1"/>
  <c r="O134" i="13" s="1"/>
  <c r="O133" i="13" s="1"/>
  <c r="P150" i="13"/>
  <c r="P149" i="13" s="1"/>
  <c r="P148" i="13" s="1"/>
  <c r="P147" i="13" s="1"/>
  <c r="P146" i="13" s="1"/>
  <c r="P145" i="13" s="1"/>
  <c r="P144" i="13" s="1"/>
  <c r="P143" i="13" s="1"/>
  <c r="P142" i="13" s="1"/>
  <c r="P141" i="13" s="1"/>
  <c r="P140" i="13" s="1"/>
  <c r="P139" i="13" s="1"/>
  <c r="P138" i="13" s="1"/>
  <c r="P137" i="13" s="1"/>
  <c r="P136" i="13" s="1"/>
  <c r="P135" i="13" s="1"/>
  <c r="P134" i="13" s="1"/>
  <c r="P133" i="13" s="1"/>
  <c r="Q150" i="13"/>
  <c r="Q149" i="13" s="1"/>
  <c r="Q148" i="13" s="1"/>
  <c r="Q147" i="13" s="1"/>
  <c r="Q146" i="13" s="1"/>
  <c r="Q145" i="13" s="1"/>
  <c r="Q144" i="13" s="1"/>
  <c r="Q143" i="13" s="1"/>
  <c r="Q142" i="13" s="1"/>
  <c r="Q141" i="13" s="1"/>
  <c r="Q140" i="13" s="1"/>
  <c r="Q139" i="13" s="1"/>
  <c r="Q138" i="13" s="1"/>
  <c r="Q137" i="13" s="1"/>
  <c r="Q136" i="13" s="1"/>
  <c r="Q135" i="13" s="1"/>
  <c r="Q134" i="13" s="1"/>
  <c r="Q133" i="13" s="1"/>
  <c r="R150" i="13"/>
  <c r="R149" i="13" s="1"/>
  <c r="R148" i="13" s="1"/>
  <c r="R147" i="13" s="1"/>
  <c r="R146" i="13" s="1"/>
  <c r="R145" i="13" s="1"/>
  <c r="R144" i="13" s="1"/>
  <c r="R143" i="13" s="1"/>
  <c r="R142" i="13" s="1"/>
  <c r="R141" i="13" s="1"/>
  <c r="R140" i="13" s="1"/>
  <c r="R139" i="13" s="1"/>
  <c r="R138" i="13" s="1"/>
  <c r="R137" i="13" s="1"/>
  <c r="R136" i="13" s="1"/>
  <c r="R135" i="13" s="1"/>
  <c r="R134" i="13" s="1"/>
  <c r="R133" i="13" s="1"/>
  <c r="S150" i="13"/>
  <c r="T150" i="13"/>
  <c r="U150" i="13"/>
  <c r="V150" i="13"/>
  <c r="W150" i="13"/>
  <c r="C174" i="13"/>
  <c r="D174" i="13"/>
  <c r="E174" i="13"/>
  <c r="F174" i="13"/>
  <c r="G174" i="13"/>
  <c r="H174" i="13"/>
  <c r="I174" i="13"/>
  <c r="J174" i="13"/>
  <c r="K174" i="13"/>
  <c r="L174" i="13"/>
  <c r="M174" i="13"/>
  <c r="N174" i="13"/>
  <c r="O174" i="13"/>
  <c r="P174" i="13"/>
  <c r="Q174" i="13"/>
  <c r="R174" i="13"/>
  <c r="S174" i="13"/>
  <c r="T174" i="13"/>
  <c r="U174" i="13"/>
  <c r="V174" i="13"/>
  <c r="W174" i="13"/>
  <c r="X174" i="13"/>
  <c r="C234" i="13"/>
  <c r="D234" i="13"/>
  <c r="E234" i="13"/>
  <c r="F234" i="13"/>
  <c r="G234" i="13"/>
  <c r="H234" i="13"/>
  <c r="I234" i="13"/>
  <c r="J234" i="13"/>
  <c r="K234" i="13"/>
  <c r="L234" i="13"/>
  <c r="M234" i="13"/>
  <c r="N234" i="13"/>
  <c r="O234" i="13"/>
  <c r="P234" i="13"/>
  <c r="Q234" i="13"/>
  <c r="R234" i="13"/>
  <c r="S234" i="13"/>
  <c r="T234" i="13"/>
  <c r="U234" i="13"/>
  <c r="V234" i="13"/>
  <c r="W234" i="13"/>
  <c r="X234" i="13"/>
  <c r="B234" i="13"/>
  <c r="B174" i="13"/>
  <c r="B150" i="13"/>
  <c r="A86" i="13"/>
  <c r="E59" i="13"/>
  <c r="E60" i="13" s="1"/>
  <c r="E61" i="13" s="1"/>
  <c r="E62" i="13" s="1"/>
  <c r="E63" i="13" s="1"/>
  <c r="E64" i="13" s="1"/>
  <c r="E65" i="13" s="1"/>
  <c r="E66" i="13" s="1"/>
  <c r="E67" i="13" s="1"/>
  <c r="E68" i="13" s="1"/>
  <c r="F13" i="2"/>
  <c r="C49" i="13"/>
  <c r="C48" i="13"/>
  <c r="C80" i="13"/>
  <c r="D80" i="13" s="1"/>
  <c r="C79" i="13"/>
  <c r="D79" i="13" s="1"/>
  <c r="C78" i="13"/>
  <c r="D78" i="13" s="1"/>
  <c r="C77" i="13"/>
  <c r="D77" i="13" s="1"/>
  <c r="C76" i="13"/>
  <c r="D76" i="13" s="1"/>
  <c r="C75" i="13"/>
  <c r="D75" i="13" s="1"/>
  <c r="C74" i="13"/>
  <c r="D74" i="13" s="1"/>
  <c r="C73" i="13"/>
  <c r="D73" i="13" s="1"/>
  <c r="C72" i="13"/>
  <c r="D72" i="13" s="1"/>
  <c r="C71" i="13"/>
  <c r="D71" i="13" s="1"/>
  <c r="C70" i="13"/>
  <c r="D70" i="13" s="1"/>
  <c r="C69" i="13"/>
  <c r="D69" i="13" s="1"/>
  <c r="C68" i="13"/>
  <c r="D68" i="13" s="1"/>
  <c r="C67" i="13"/>
  <c r="D67" i="13" s="1"/>
  <c r="C66" i="13"/>
  <c r="D66" i="13" s="1"/>
  <c r="C65" i="13"/>
  <c r="D65" i="13" s="1"/>
  <c r="C64" i="13"/>
  <c r="D64" i="13" s="1"/>
  <c r="C63" i="13"/>
  <c r="D63" i="13" s="1"/>
  <c r="C62" i="13"/>
  <c r="D62" i="13" s="1"/>
  <c r="C61" i="13"/>
  <c r="D61" i="13" s="1"/>
  <c r="C60" i="13"/>
  <c r="D60" i="13" s="1"/>
  <c r="C59" i="13"/>
  <c r="D59" i="13" s="1"/>
  <c r="C58" i="13"/>
  <c r="D58" i="13" s="1"/>
  <c r="C57" i="13"/>
  <c r="D57" i="13" s="1"/>
  <c r="C56" i="13"/>
  <c r="D56" i="13" s="1"/>
  <c r="C55" i="13"/>
  <c r="D55" i="13" s="1"/>
  <c r="C54" i="13"/>
  <c r="D54" i="13" s="1"/>
  <c r="C53" i="13"/>
  <c r="D53" i="13" s="1"/>
  <c r="C52" i="13"/>
  <c r="D52" i="13" s="1"/>
  <c r="C51" i="13"/>
  <c r="AD6" i="12"/>
  <c r="AD7" i="12" s="1"/>
  <c r="AD8" i="12" s="1"/>
  <c r="AD9" i="12" s="1"/>
  <c r="AD10" i="12" s="1"/>
  <c r="AD11" i="12" s="1"/>
  <c r="AD12" i="12" s="1"/>
  <c r="AD13" i="12" s="1"/>
  <c r="AD14" i="12" s="1"/>
  <c r="AD15" i="12" s="1"/>
  <c r="AD16" i="12" s="1"/>
  <c r="AD17" i="12" s="1"/>
  <c r="AD18" i="12" s="1"/>
  <c r="AD19" i="12" s="1"/>
  <c r="AD20" i="12" s="1"/>
  <c r="M3" i="12"/>
  <c r="N3" i="12" s="1"/>
  <c r="C23" i="12"/>
  <c r="C22" i="12"/>
  <c r="C21" i="12"/>
  <c r="C20" i="12"/>
  <c r="C19" i="12"/>
  <c r="C18" i="12"/>
  <c r="C17" i="12"/>
  <c r="C16" i="12"/>
  <c r="C15" i="12"/>
  <c r="C14" i="12"/>
  <c r="F13" i="12"/>
  <c r="F14" i="12" s="1"/>
  <c r="F15" i="12" s="1"/>
  <c r="F16" i="12" s="1"/>
  <c r="F17" i="12" s="1"/>
  <c r="F18" i="12" s="1"/>
  <c r="F19" i="12" s="1"/>
  <c r="F20" i="12" s="1"/>
  <c r="F21" i="12" s="1"/>
  <c r="F22" i="12" s="1"/>
  <c r="C13" i="12"/>
  <c r="C12" i="12"/>
  <c r="C11" i="12"/>
  <c r="C10" i="12"/>
  <c r="C9" i="12"/>
  <c r="C8" i="12"/>
  <c r="C7" i="12"/>
  <c r="C6" i="12"/>
  <c r="C5" i="12"/>
  <c r="AA4" i="12"/>
  <c r="C3" i="12"/>
  <c r="H21" i="12" s="1"/>
  <c r="C2" i="12"/>
  <c r="P6" i="11"/>
  <c r="P7" i="11"/>
  <c r="P8" i="11"/>
  <c r="P9" i="11"/>
  <c r="P14" i="11"/>
  <c r="P15" i="11"/>
  <c r="P16" i="11"/>
  <c r="P17" i="11"/>
  <c r="P18" i="11"/>
  <c r="P19" i="11"/>
  <c r="P5" i="11"/>
  <c r="C23" i="11"/>
  <c r="C22" i="11"/>
  <c r="C21" i="11"/>
  <c r="C20" i="11"/>
  <c r="C19" i="11"/>
  <c r="C18" i="11"/>
  <c r="C17" i="11"/>
  <c r="C16" i="11"/>
  <c r="C15" i="11"/>
  <c r="C14" i="11"/>
  <c r="F13" i="11"/>
  <c r="F14" i="11" s="1"/>
  <c r="F15" i="11" s="1"/>
  <c r="F16" i="11" s="1"/>
  <c r="F17" i="11" s="1"/>
  <c r="F18" i="11" s="1"/>
  <c r="F19" i="11" s="1"/>
  <c r="F20" i="11" s="1"/>
  <c r="F21" i="11" s="1"/>
  <c r="F22" i="11" s="1"/>
  <c r="C13" i="11"/>
  <c r="C12" i="11"/>
  <c r="C11" i="11"/>
  <c r="C10" i="11"/>
  <c r="C9" i="11"/>
  <c r="C8" i="11"/>
  <c r="C7" i="11"/>
  <c r="C6" i="11"/>
  <c r="C5" i="11"/>
  <c r="C3" i="11"/>
  <c r="C2" i="11"/>
  <c r="Z140" i="13" l="1"/>
  <c r="AA140" i="13"/>
  <c r="AB185" i="13"/>
  <c r="AB140" i="13"/>
  <c r="Z185" i="13"/>
  <c r="Z161" i="13"/>
  <c r="AA185" i="13"/>
  <c r="AA161" i="13"/>
  <c r="AB161" i="13"/>
  <c r="AN176" i="13"/>
  <c r="AQ60" i="13"/>
  <c r="AF144" i="13"/>
  <c r="AF143" i="13" s="1"/>
  <c r="AF142" i="13" s="1"/>
  <c r="AF141" i="13" s="1"/>
  <c r="AF140" i="13" s="1"/>
  <c r="AF139" i="13" s="1"/>
  <c r="AF138" i="13" s="1"/>
  <c r="AF137" i="13" s="1"/>
  <c r="AF136" i="13" s="1"/>
  <c r="AF135" i="13" s="1"/>
  <c r="AI57" i="13"/>
  <c r="AE144" i="13"/>
  <c r="AE143" i="13" s="1"/>
  <c r="AE142" i="13" s="1"/>
  <c r="AE141" i="13" s="1"/>
  <c r="AE140" i="13" s="1"/>
  <c r="AE139" i="13" s="1"/>
  <c r="AE138" i="13" s="1"/>
  <c r="AE137" i="13" s="1"/>
  <c r="AE136" i="13" s="1"/>
  <c r="AE135" i="13" s="1"/>
  <c r="AH57" i="13"/>
  <c r="AD104" i="13"/>
  <c r="AG53" i="13"/>
  <c r="AG104" i="13"/>
  <c r="AJ53" i="13"/>
  <c r="AD144" i="13"/>
  <c r="AD143" i="13" s="1"/>
  <c r="AD142" i="13" s="1"/>
  <c r="AD141" i="13" s="1"/>
  <c r="AD140" i="13" s="1"/>
  <c r="AD139" i="13" s="1"/>
  <c r="AD138" i="13" s="1"/>
  <c r="AD137" i="13" s="1"/>
  <c r="AD136" i="13" s="1"/>
  <c r="AD135" i="13" s="1"/>
  <c r="AG57" i="13"/>
  <c r="AG144" i="13"/>
  <c r="AG143" i="13" s="1"/>
  <c r="AG142" i="13" s="1"/>
  <c r="AG141" i="13" s="1"/>
  <c r="AG140" i="13" s="1"/>
  <c r="AG139" i="13" s="1"/>
  <c r="AG138" i="13" s="1"/>
  <c r="AG137" i="13" s="1"/>
  <c r="AG136" i="13" s="1"/>
  <c r="AG135" i="13" s="1"/>
  <c r="AJ57" i="13"/>
  <c r="AF104" i="13"/>
  <c r="AI53" i="13"/>
  <c r="AE104" i="13"/>
  <c r="AH53" i="13"/>
  <c r="AC134" i="13"/>
  <c r="AC133" i="13" s="1"/>
  <c r="AF56" i="13"/>
  <c r="AJ128" i="13"/>
  <c r="AK146" i="13"/>
  <c r="AI128" i="13"/>
  <c r="AH110" i="13"/>
  <c r="AK128" i="13"/>
  <c r="AJ238" i="13"/>
  <c r="AH178" i="13"/>
  <c r="AH239" i="13"/>
  <c r="AH128" i="13"/>
  <c r="AJ110" i="13"/>
  <c r="AK110" i="13"/>
  <c r="AH146" i="13"/>
  <c r="AI178" i="13"/>
  <c r="AI154" i="13"/>
  <c r="AI238" i="13"/>
  <c r="AH154" i="13"/>
  <c r="AJ154" i="13"/>
  <c r="AK178" i="13"/>
  <c r="AJ146" i="13"/>
  <c r="AI110" i="13"/>
  <c r="AK154" i="13"/>
  <c r="AI146" i="13"/>
  <c r="AJ178" i="13"/>
  <c r="AS85" i="13"/>
  <c r="AL152" i="13"/>
  <c r="AQ237" i="13"/>
  <c r="AE152" i="13"/>
  <c r="AF152" i="13"/>
  <c r="AO176" i="13"/>
  <c r="AC176" i="13"/>
  <c r="AO148" i="13"/>
  <c r="AC237" i="13"/>
  <c r="AM152" i="13"/>
  <c r="AE236" i="13"/>
  <c r="AG237" i="13"/>
  <c r="AC152" i="13"/>
  <c r="AN152" i="13"/>
  <c r="AG176" i="13"/>
  <c r="AL176" i="13"/>
  <c r="AN236" i="13"/>
  <c r="AN148" i="13"/>
  <c r="AD237" i="13"/>
  <c r="AM176" i="13"/>
  <c r="AD176" i="13"/>
  <c r="AP148" i="13"/>
  <c r="AQ148" i="13"/>
  <c r="AQ176" i="13"/>
  <c r="AP176" i="13"/>
  <c r="AF236" i="13"/>
  <c r="AO236" i="13"/>
  <c r="AO152" i="13"/>
  <c r="AE176" i="13"/>
  <c r="AF176" i="13"/>
  <c r="AG152" i="13"/>
  <c r="AP152" i="13"/>
  <c r="AM148" i="13"/>
  <c r="AN177" i="13"/>
  <c r="AL148" i="13"/>
  <c r="AL236" i="13"/>
  <c r="AP236" i="13"/>
  <c r="AM237" i="13"/>
  <c r="AD152" i="13"/>
  <c r="AQ152" i="13"/>
  <c r="D51" i="13"/>
  <c r="G51" i="13"/>
  <c r="H51" i="13" s="1"/>
  <c r="A87" i="13"/>
  <c r="AS86" i="13"/>
  <c r="H18" i="11"/>
  <c r="I18" i="11" s="1"/>
  <c r="H17" i="11"/>
  <c r="H5" i="11"/>
  <c r="G79" i="13"/>
  <c r="H79" i="13" s="1"/>
  <c r="G75" i="13"/>
  <c r="H75" i="13" s="1"/>
  <c r="G71" i="13"/>
  <c r="H71" i="13" s="1"/>
  <c r="G67" i="13"/>
  <c r="H67" i="13" s="1"/>
  <c r="G63" i="13"/>
  <c r="H63" i="13" s="1"/>
  <c r="G59" i="13"/>
  <c r="H59" i="13" s="1"/>
  <c r="G55" i="13"/>
  <c r="H55" i="13" s="1"/>
  <c r="G78" i="13"/>
  <c r="H78" i="13" s="1"/>
  <c r="G74" i="13"/>
  <c r="H74" i="13" s="1"/>
  <c r="G70" i="13"/>
  <c r="H70" i="13" s="1"/>
  <c r="G66" i="13"/>
  <c r="H66" i="13" s="1"/>
  <c r="G62" i="13"/>
  <c r="H62" i="13" s="1"/>
  <c r="G58" i="13"/>
  <c r="H58" i="13" s="1"/>
  <c r="G54" i="13"/>
  <c r="H54" i="13" s="1"/>
  <c r="G77" i="13"/>
  <c r="H77" i="13" s="1"/>
  <c r="G73" i="13"/>
  <c r="H73" i="13" s="1"/>
  <c r="G69" i="13"/>
  <c r="H69" i="13" s="1"/>
  <c r="G65" i="13"/>
  <c r="H65" i="13" s="1"/>
  <c r="G61" i="13"/>
  <c r="H61" i="13" s="1"/>
  <c r="G57" i="13"/>
  <c r="H57" i="13" s="1"/>
  <c r="G53" i="13"/>
  <c r="H53" i="13" s="1"/>
  <c r="G80" i="13"/>
  <c r="H80" i="13" s="1"/>
  <c r="G76" i="13"/>
  <c r="H76" i="13" s="1"/>
  <c r="G72" i="13"/>
  <c r="H72" i="13" s="1"/>
  <c r="G68" i="13"/>
  <c r="H68" i="13" s="1"/>
  <c r="G64" i="13"/>
  <c r="H64" i="13" s="1"/>
  <c r="G60" i="13"/>
  <c r="H60" i="13" s="1"/>
  <c r="G56" i="13"/>
  <c r="H56" i="13" s="1"/>
  <c r="G52" i="13"/>
  <c r="H52" i="13" s="1"/>
  <c r="U175" i="13"/>
  <c r="Q175" i="13"/>
  <c r="M175" i="13"/>
  <c r="I175" i="13"/>
  <c r="E175" i="13"/>
  <c r="V151" i="13"/>
  <c r="N151" i="13"/>
  <c r="N131" i="13" s="1"/>
  <c r="F151" i="13"/>
  <c r="R151" i="13"/>
  <c r="J151" i="13"/>
  <c r="M151" i="13"/>
  <c r="I151" i="13"/>
  <c r="B175" i="13"/>
  <c r="U151" i="13"/>
  <c r="Q151" i="13"/>
  <c r="E151" i="13"/>
  <c r="B151" i="13"/>
  <c r="S151" i="13"/>
  <c r="K151" i="13"/>
  <c r="C151" i="13"/>
  <c r="V175" i="13"/>
  <c r="R175" i="13"/>
  <c r="N175" i="13"/>
  <c r="J175" i="13"/>
  <c r="F175" i="13"/>
  <c r="T175" i="13"/>
  <c r="P151" i="13"/>
  <c r="L175" i="13"/>
  <c r="D175" i="13"/>
  <c r="X151" i="13"/>
  <c r="X175" i="13"/>
  <c r="H151" i="13"/>
  <c r="H175" i="13"/>
  <c r="P175" i="13"/>
  <c r="T151" i="13"/>
  <c r="L151" i="13"/>
  <c r="D151" i="13"/>
  <c r="W151" i="13"/>
  <c r="O151" i="13"/>
  <c r="G151" i="13"/>
  <c r="W175" i="13"/>
  <c r="S175" i="13"/>
  <c r="O175" i="13"/>
  <c r="K175" i="13"/>
  <c r="G175" i="13"/>
  <c r="C175" i="13"/>
  <c r="M4" i="12"/>
  <c r="N4" i="12"/>
  <c r="L4" i="12"/>
  <c r="H13" i="12"/>
  <c r="I13" i="12" s="1"/>
  <c r="O3" i="12"/>
  <c r="P3" i="12" s="1"/>
  <c r="Q3" i="12" s="1"/>
  <c r="R3" i="12" s="1"/>
  <c r="H19" i="12"/>
  <c r="I19" i="12" s="1"/>
  <c r="H18" i="12"/>
  <c r="I18" i="12" s="1"/>
  <c r="H6" i="12"/>
  <c r="I6" i="12" s="1"/>
  <c r="H8" i="12"/>
  <c r="I8" i="12" s="1"/>
  <c r="H16" i="12"/>
  <c r="I16" i="12" s="1"/>
  <c r="H7" i="12"/>
  <c r="I7" i="12" s="1"/>
  <c r="H11" i="12"/>
  <c r="I11" i="12" s="1"/>
  <c r="H20" i="12"/>
  <c r="I20" i="12" s="1"/>
  <c r="H23" i="12"/>
  <c r="I23" i="12" s="1"/>
  <c r="H22" i="12"/>
  <c r="H10" i="12"/>
  <c r="I10" i="12" s="1"/>
  <c r="H14" i="12"/>
  <c r="H12" i="12"/>
  <c r="H15" i="12"/>
  <c r="I15" i="12" s="1"/>
  <c r="I21" i="12"/>
  <c r="H5" i="12"/>
  <c r="I5" i="12" s="1"/>
  <c r="H9" i="12"/>
  <c r="I9" i="12" s="1"/>
  <c r="H17" i="12"/>
  <c r="H6" i="11"/>
  <c r="H10" i="11"/>
  <c r="H14" i="11"/>
  <c r="H19" i="11"/>
  <c r="H9" i="11"/>
  <c r="I9" i="11" s="1"/>
  <c r="H15" i="11"/>
  <c r="H20" i="11"/>
  <c r="H13" i="11"/>
  <c r="H8" i="11"/>
  <c r="H12" i="11"/>
  <c r="I12" i="11" s="1"/>
  <c r="H21" i="11"/>
  <c r="H22" i="11"/>
  <c r="H7" i="11"/>
  <c r="H11" i="11"/>
  <c r="H16" i="11"/>
  <c r="H23" i="11"/>
  <c r="CL72" i="13" l="1"/>
  <c r="CN72" i="13"/>
  <c r="CM72" i="13"/>
  <c r="CQ62" i="13"/>
  <c r="CL52" i="13"/>
  <c r="CM52" i="13"/>
  <c r="CN52" i="13"/>
  <c r="CM53" i="13"/>
  <c r="CN53" i="13"/>
  <c r="CL53" i="13"/>
  <c r="CM69" i="13"/>
  <c r="CN69" i="13"/>
  <c r="CL69" i="13"/>
  <c r="CQ58" i="13"/>
  <c r="CN58" i="13"/>
  <c r="CL58" i="13"/>
  <c r="CM58" i="13"/>
  <c r="CN74" i="13"/>
  <c r="CL74" i="13"/>
  <c r="CM74" i="13"/>
  <c r="CQ63" i="13"/>
  <c r="CM79" i="13"/>
  <c r="CN79" i="13"/>
  <c r="CL79" i="13"/>
  <c r="CQ56" i="13"/>
  <c r="CI60" i="13"/>
  <c r="CL60" i="13"/>
  <c r="CN60" i="13"/>
  <c r="CM60" i="13"/>
  <c r="CL76" i="13"/>
  <c r="CN76" i="13"/>
  <c r="CM76" i="13"/>
  <c r="CQ61" i="13"/>
  <c r="CM77" i="13"/>
  <c r="CN77" i="13"/>
  <c r="CL77" i="13"/>
  <c r="CI66" i="13"/>
  <c r="CL55" i="13"/>
  <c r="CM55" i="13"/>
  <c r="CN55" i="13"/>
  <c r="CM71" i="13"/>
  <c r="CL71" i="13"/>
  <c r="CN71" i="13"/>
  <c r="CL51" i="13"/>
  <c r="CM51" i="13"/>
  <c r="CN51" i="13"/>
  <c r="CK51" i="13"/>
  <c r="CQ57" i="13"/>
  <c r="CM57" i="13"/>
  <c r="CN57" i="13"/>
  <c r="CL57" i="13"/>
  <c r="CM73" i="13"/>
  <c r="CN73" i="13"/>
  <c r="CL73" i="13"/>
  <c r="CN78" i="13"/>
  <c r="CL78" i="13"/>
  <c r="CM78" i="13"/>
  <c r="CQ64" i="13"/>
  <c r="CL80" i="13"/>
  <c r="CN80" i="13"/>
  <c r="CM80" i="13"/>
  <c r="CQ65" i="13"/>
  <c r="CN54" i="13"/>
  <c r="CL54" i="13"/>
  <c r="CM54" i="13"/>
  <c r="CN70" i="13"/>
  <c r="CL70" i="13"/>
  <c r="CM70" i="13"/>
  <c r="CQ59" i="13"/>
  <c r="CM75" i="13"/>
  <c r="CN75" i="13"/>
  <c r="CL75" i="13"/>
  <c r="BR85" i="13"/>
  <c r="BS85" i="13"/>
  <c r="BT85" i="13"/>
  <c r="AA162" i="13"/>
  <c r="Z162" i="13"/>
  <c r="AB139" i="13"/>
  <c r="AA139" i="13"/>
  <c r="BR86" i="13"/>
  <c r="BS86" i="13"/>
  <c r="BT86" i="13"/>
  <c r="AB162" i="13"/>
  <c r="AA186" i="13"/>
  <c r="AV61" i="13"/>
  <c r="CM61" i="13" s="1"/>
  <c r="EG61" i="13" s="1"/>
  <c r="Z186" i="13"/>
  <c r="AU61" i="13"/>
  <c r="CL61" i="13" s="1"/>
  <c r="EF61" i="13" s="1"/>
  <c r="AB186" i="13"/>
  <c r="AW61" i="13"/>
  <c r="CN61" i="13" s="1"/>
  <c r="EH61" i="13" s="1"/>
  <c r="Z139" i="13"/>
  <c r="BY60" i="13"/>
  <c r="CF60" i="13"/>
  <c r="CH66" i="13"/>
  <c r="CQ53" i="13"/>
  <c r="BX53" i="13"/>
  <c r="CB53" i="13"/>
  <c r="CF53" i="13"/>
  <c r="CJ53" i="13"/>
  <c r="BY53" i="13"/>
  <c r="CC53" i="13"/>
  <c r="CG53" i="13"/>
  <c r="CK53" i="13"/>
  <c r="BW53" i="13"/>
  <c r="CA53" i="13"/>
  <c r="CE53" i="13"/>
  <c r="CI53" i="13"/>
  <c r="CH53" i="13"/>
  <c r="CO53" i="13"/>
  <c r="BZ53" i="13"/>
  <c r="CD53" i="13"/>
  <c r="BX74" i="13"/>
  <c r="CB74" i="13"/>
  <c r="CF74" i="13"/>
  <c r="CJ74" i="13"/>
  <c r="CQ74" i="13"/>
  <c r="CA74" i="13"/>
  <c r="CG74" i="13"/>
  <c r="CO74" i="13"/>
  <c r="CD74" i="13"/>
  <c r="BW74" i="13"/>
  <c r="CC74" i="13"/>
  <c r="CH74" i="13"/>
  <c r="BY74" i="13"/>
  <c r="BZ74" i="13"/>
  <c r="CE74" i="13"/>
  <c r="CK74" i="13"/>
  <c r="CI74" i="13"/>
  <c r="BY79" i="13"/>
  <c r="CC79" i="13"/>
  <c r="CG79" i="13"/>
  <c r="CK79" i="13"/>
  <c r="CA79" i="13"/>
  <c r="BZ79" i="13"/>
  <c r="CD79" i="13"/>
  <c r="CH79" i="13"/>
  <c r="CO79" i="13"/>
  <c r="BW79" i="13"/>
  <c r="CI79" i="13"/>
  <c r="CQ79" i="13"/>
  <c r="BX79" i="13"/>
  <c r="CB79" i="13"/>
  <c r="CF79" i="13"/>
  <c r="CJ79" i="13"/>
  <c r="CE79" i="13"/>
  <c r="CQ60" i="13"/>
  <c r="CC60" i="13"/>
  <c r="CE60" i="13"/>
  <c r="CD60" i="13"/>
  <c r="CB60" i="13"/>
  <c r="BX76" i="13"/>
  <c r="CB76" i="13"/>
  <c r="CF76" i="13"/>
  <c r="CQ76" i="13"/>
  <c r="CA76" i="13"/>
  <c r="CG76" i="13"/>
  <c r="CK76" i="13"/>
  <c r="BY76" i="13"/>
  <c r="BW76" i="13"/>
  <c r="CC76" i="13"/>
  <c r="CH76" i="13"/>
  <c r="CO76" i="13"/>
  <c r="CD76" i="13"/>
  <c r="BZ76" i="13"/>
  <c r="CE76" i="13"/>
  <c r="CJ76" i="13"/>
  <c r="CI76" i="13"/>
  <c r="CQ73" i="13"/>
  <c r="BX73" i="13"/>
  <c r="CB73" i="13"/>
  <c r="CF73" i="13"/>
  <c r="CJ73" i="13"/>
  <c r="BW73" i="13"/>
  <c r="CA73" i="13"/>
  <c r="CG73" i="13"/>
  <c r="CO73" i="13"/>
  <c r="CD73" i="13"/>
  <c r="CC73" i="13"/>
  <c r="CH73" i="13"/>
  <c r="BY73" i="13"/>
  <c r="BZ73" i="13"/>
  <c r="CE73" i="13"/>
  <c r="CK73" i="13"/>
  <c r="CI73" i="13"/>
  <c r="CQ78" i="13"/>
  <c r="BY78" i="13"/>
  <c r="CC78" i="13"/>
  <c r="CG78" i="13"/>
  <c r="CK78" i="13"/>
  <c r="CA78" i="13"/>
  <c r="CI78" i="13"/>
  <c r="BZ78" i="13"/>
  <c r="CD78" i="13"/>
  <c r="CH78" i="13"/>
  <c r="CO78" i="13"/>
  <c r="BW78" i="13"/>
  <c r="BX78" i="13"/>
  <c r="CB78" i="13"/>
  <c r="CF78" i="13"/>
  <c r="CJ78" i="13"/>
  <c r="CE78" i="13"/>
  <c r="CQ67" i="13"/>
  <c r="CE67" i="13"/>
  <c r="CA57" i="13"/>
  <c r="BY57" i="13"/>
  <c r="DS57" i="13" s="1"/>
  <c r="CH60" i="13"/>
  <c r="EB60" i="13" s="1"/>
  <c r="CA60" i="13"/>
  <c r="BW57" i="13"/>
  <c r="CJ60" i="13"/>
  <c r="BX72" i="13"/>
  <c r="CB72" i="13"/>
  <c r="CF72" i="13"/>
  <c r="CJ72" i="13"/>
  <c r="BY72" i="13"/>
  <c r="CC72" i="13"/>
  <c r="CG72" i="13"/>
  <c r="CK72" i="13"/>
  <c r="CQ72" i="13"/>
  <c r="BW72" i="13"/>
  <c r="CA72" i="13"/>
  <c r="CE72" i="13"/>
  <c r="CI72" i="13"/>
  <c r="CH72" i="13"/>
  <c r="BZ72" i="13"/>
  <c r="CO72" i="13"/>
  <c r="CD72" i="13"/>
  <c r="CQ69" i="13"/>
  <c r="BX69" i="13"/>
  <c r="CB69" i="13"/>
  <c r="CF69" i="13"/>
  <c r="CJ69" i="13"/>
  <c r="BY69" i="13"/>
  <c r="CC69" i="13"/>
  <c r="CG69" i="13"/>
  <c r="CK69" i="13"/>
  <c r="BW69" i="13"/>
  <c r="CA69" i="13"/>
  <c r="CE69" i="13"/>
  <c r="CI69" i="13"/>
  <c r="CH69" i="13"/>
  <c r="CO69" i="13"/>
  <c r="BZ69" i="13"/>
  <c r="CD69" i="13"/>
  <c r="CQ80" i="13"/>
  <c r="BY80" i="13"/>
  <c r="CC80" i="13"/>
  <c r="CG80" i="13"/>
  <c r="CK80" i="13"/>
  <c r="BW80" i="13"/>
  <c r="CI80" i="13"/>
  <c r="BZ80" i="13"/>
  <c r="CD80" i="13"/>
  <c r="CH80" i="13"/>
  <c r="CO80" i="13"/>
  <c r="CE80" i="13"/>
  <c r="BX80" i="13"/>
  <c r="CB80" i="13"/>
  <c r="CF80" i="13"/>
  <c r="CJ80" i="13"/>
  <c r="CA80" i="13"/>
  <c r="CQ77" i="13"/>
  <c r="BY77" i="13"/>
  <c r="CC77" i="13"/>
  <c r="CG77" i="13"/>
  <c r="CK77" i="13"/>
  <c r="BW77" i="13"/>
  <c r="CE77" i="13"/>
  <c r="BZ77" i="13"/>
  <c r="CD77" i="13"/>
  <c r="CH77" i="13"/>
  <c r="CO77" i="13"/>
  <c r="CA77" i="13"/>
  <c r="BX77" i="13"/>
  <c r="CB77" i="13"/>
  <c r="CF77" i="13"/>
  <c r="CJ77" i="13"/>
  <c r="CI77" i="13"/>
  <c r="CQ66" i="13"/>
  <c r="CB66" i="13"/>
  <c r="CC66" i="13"/>
  <c r="CE66" i="13"/>
  <c r="CD66" i="13"/>
  <c r="DX66" i="13" s="1"/>
  <c r="BX66" i="13"/>
  <c r="CG66" i="13"/>
  <c r="BW66" i="13"/>
  <c r="CK66" i="13"/>
  <c r="EE66" i="13" s="1"/>
  <c r="CA66" i="13"/>
  <c r="BX55" i="13"/>
  <c r="CB55" i="13"/>
  <c r="CF55" i="13"/>
  <c r="CJ55" i="13"/>
  <c r="BY55" i="13"/>
  <c r="CC55" i="13"/>
  <c r="CG55" i="13"/>
  <c r="CK55" i="13"/>
  <c r="BW55" i="13"/>
  <c r="CA55" i="13"/>
  <c r="CE55" i="13"/>
  <c r="CI55" i="13"/>
  <c r="CH55" i="13"/>
  <c r="CQ55" i="13"/>
  <c r="CO55" i="13"/>
  <c r="CD55" i="13"/>
  <c r="BZ55" i="13"/>
  <c r="BX71" i="13"/>
  <c r="CB71" i="13"/>
  <c r="CF71" i="13"/>
  <c r="CJ71" i="13"/>
  <c r="BY71" i="13"/>
  <c r="CC71" i="13"/>
  <c r="CG71" i="13"/>
  <c r="CK71" i="13"/>
  <c r="BW71" i="13"/>
  <c r="CA71" i="13"/>
  <c r="CE71" i="13"/>
  <c r="CI71" i="13"/>
  <c r="CH71" i="13"/>
  <c r="CQ71" i="13"/>
  <c r="CO71" i="13"/>
  <c r="CD71" i="13"/>
  <c r="BZ71" i="13"/>
  <c r="CQ51" i="13"/>
  <c r="BX51" i="13"/>
  <c r="CB51" i="13"/>
  <c r="CF51" i="13"/>
  <c r="CJ51" i="13"/>
  <c r="AZ51" i="13"/>
  <c r="BY51" i="13"/>
  <c r="CC51" i="13"/>
  <c r="CG51" i="13"/>
  <c r="BW51" i="13"/>
  <c r="CA51" i="13"/>
  <c r="CE51" i="13"/>
  <c r="CI51" i="13"/>
  <c r="CH51" i="13"/>
  <c r="BZ51" i="13"/>
  <c r="CO51" i="13"/>
  <c r="CD51" i="13"/>
  <c r="BZ60" i="13"/>
  <c r="CK60" i="13"/>
  <c r="BZ66" i="13"/>
  <c r="CG60" i="13"/>
  <c r="BX52" i="13"/>
  <c r="CB52" i="13"/>
  <c r="CF52" i="13"/>
  <c r="CJ52" i="13"/>
  <c r="BY52" i="13"/>
  <c r="CC52" i="13"/>
  <c r="CG52" i="13"/>
  <c r="CK52" i="13"/>
  <c r="CQ52" i="13"/>
  <c r="BW52" i="13"/>
  <c r="CA52" i="13"/>
  <c r="CE52" i="13"/>
  <c r="CI52" i="13"/>
  <c r="CH52" i="13"/>
  <c r="CO52" i="13"/>
  <c r="CD52" i="13"/>
  <c r="BZ52" i="13"/>
  <c r="CQ68" i="13"/>
  <c r="CE68" i="13"/>
  <c r="BX54" i="13"/>
  <c r="CB54" i="13"/>
  <c r="CF54" i="13"/>
  <c r="CJ54" i="13"/>
  <c r="CQ54" i="13"/>
  <c r="BY54" i="13"/>
  <c r="CC54" i="13"/>
  <c r="CG54" i="13"/>
  <c r="CK54" i="13"/>
  <c r="BW54" i="13"/>
  <c r="CA54" i="13"/>
  <c r="CE54" i="13"/>
  <c r="CI54" i="13"/>
  <c r="CH54" i="13"/>
  <c r="BZ54" i="13"/>
  <c r="CO54" i="13"/>
  <c r="CD54" i="13"/>
  <c r="BX70" i="13"/>
  <c r="CB70" i="13"/>
  <c r="CF70" i="13"/>
  <c r="CJ70" i="13"/>
  <c r="CQ70" i="13"/>
  <c r="BY70" i="13"/>
  <c r="CC70" i="13"/>
  <c r="CG70" i="13"/>
  <c r="CK70" i="13"/>
  <c r="BW70" i="13"/>
  <c r="CA70" i="13"/>
  <c r="CE70" i="13"/>
  <c r="CI70" i="13"/>
  <c r="CH70" i="13"/>
  <c r="BZ70" i="13"/>
  <c r="CO70" i="13"/>
  <c r="CD70" i="13"/>
  <c r="BX75" i="13"/>
  <c r="CB75" i="13"/>
  <c r="CF75" i="13"/>
  <c r="CJ75" i="13"/>
  <c r="CA75" i="13"/>
  <c r="CG75" i="13"/>
  <c r="CO75" i="13"/>
  <c r="CD75" i="13"/>
  <c r="BW75" i="13"/>
  <c r="CC75" i="13"/>
  <c r="CH75" i="13"/>
  <c r="BY75" i="13"/>
  <c r="BZ75" i="13"/>
  <c r="CE75" i="13"/>
  <c r="CK75" i="13"/>
  <c r="CQ75" i="13"/>
  <c r="CI75" i="13"/>
  <c r="BW56" i="13"/>
  <c r="DQ56" i="13" s="1"/>
  <c r="BX57" i="13"/>
  <c r="BZ57" i="13"/>
  <c r="BW60" i="13"/>
  <c r="CF66" i="13"/>
  <c r="CJ66" i="13"/>
  <c r="BY66" i="13"/>
  <c r="BX60" i="13"/>
  <c r="AD134" i="13"/>
  <c r="AD133" i="13" s="1"/>
  <c r="AG56" i="13"/>
  <c r="BX56" i="13" s="1"/>
  <c r="AF134" i="13"/>
  <c r="AF133" i="13" s="1"/>
  <c r="AI56" i="13"/>
  <c r="BZ56" i="13" s="1"/>
  <c r="AG134" i="13"/>
  <c r="AG133" i="13" s="1"/>
  <c r="AJ56" i="13"/>
  <c r="CA56" i="13" s="1"/>
  <c r="AE134" i="13"/>
  <c r="AE133" i="13" s="1"/>
  <c r="AH56" i="13"/>
  <c r="BY56" i="13" s="1"/>
  <c r="CB86" i="13"/>
  <c r="CC86" i="13"/>
  <c r="BZ86" i="13"/>
  <c r="CA86" i="13"/>
  <c r="AY85" i="13"/>
  <c r="CB85" i="13"/>
  <c r="CC85" i="13"/>
  <c r="BZ85" i="13"/>
  <c r="CA85" i="13"/>
  <c r="AI145" i="13"/>
  <c r="AL57" i="13" s="1"/>
  <c r="CC57" i="13" s="1"/>
  <c r="AI109" i="13"/>
  <c r="AK179" i="13"/>
  <c r="AH155" i="13"/>
  <c r="AK58" i="13" s="1"/>
  <c r="CB58" i="13" s="1"/>
  <c r="AI155" i="13"/>
  <c r="AL58" i="13" s="1"/>
  <c r="CC58" i="13" s="1"/>
  <c r="AH145" i="13"/>
  <c r="AK57" i="13" s="1"/>
  <c r="CB57" i="13" s="1"/>
  <c r="AJ109" i="13"/>
  <c r="AH240" i="13"/>
  <c r="AJ239" i="13"/>
  <c r="AH109" i="13"/>
  <c r="AK145" i="13"/>
  <c r="AN57" i="13" s="1"/>
  <c r="CE57" i="13" s="1"/>
  <c r="AJ179" i="13"/>
  <c r="AK155" i="13"/>
  <c r="AN58" i="13" s="1"/>
  <c r="CE58" i="13" s="1"/>
  <c r="AJ145" i="13"/>
  <c r="AM57" i="13" s="1"/>
  <c r="CD57" i="13" s="1"/>
  <c r="AJ155" i="13"/>
  <c r="AM58" i="13" s="1"/>
  <c r="CD58" i="13" s="1"/>
  <c r="AI239" i="13"/>
  <c r="AI179" i="13"/>
  <c r="AK109" i="13"/>
  <c r="AH127" i="13"/>
  <c r="AH179" i="13"/>
  <c r="AK127" i="13"/>
  <c r="AI127" i="13"/>
  <c r="AJ127" i="13"/>
  <c r="BP85" i="13"/>
  <c r="AU85" i="13"/>
  <c r="BE85" i="13"/>
  <c r="BF85" i="13"/>
  <c r="BI85" i="13"/>
  <c r="BK85" i="13"/>
  <c r="AT85" i="13"/>
  <c r="BD85" i="13"/>
  <c r="AX85" i="13"/>
  <c r="BA85" i="13"/>
  <c r="BG85" i="13"/>
  <c r="AZ85" i="13"/>
  <c r="BN85" i="13"/>
  <c r="AW85" i="13"/>
  <c r="BQ85" i="13"/>
  <c r="AV85" i="13"/>
  <c r="BC85" i="13"/>
  <c r="BH85" i="13"/>
  <c r="BJ85" i="13"/>
  <c r="BB85" i="13"/>
  <c r="BM85" i="13"/>
  <c r="BL85" i="13"/>
  <c r="BO85" i="13"/>
  <c r="BB52" i="13"/>
  <c r="BF52" i="13"/>
  <c r="BJ52" i="13"/>
  <c r="BN52" i="13"/>
  <c r="BR52" i="13"/>
  <c r="BV52" i="13"/>
  <c r="BC52" i="13"/>
  <c r="BG52" i="13"/>
  <c r="BK52" i="13"/>
  <c r="BO52" i="13"/>
  <c r="BS52" i="13"/>
  <c r="CP52" i="13"/>
  <c r="BD52" i="13"/>
  <c r="BL52" i="13"/>
  <c r="BT52" i="13"/>
  <c r="BP52" i="13"/>
  <c r="BE52" i="13"/>
  <c r="BM52" i="13"/>
  <c r="BU52" i="13"/>
  <c r="BH52" i="13"/>
  <c r="BQ52" i="13"/>
  <c r="AZ52" i="13"/>
  <c r="BA52" i="13"/>
  <c r="BI52" i="13"/>
  <c r="BB51" i="13"/>
  <c r="BF51" i="13"/>
  <c r="BJ51" i="13"/>
  <c r="BN51" i="13"/>
  <c r="BR51" i="13"/>
  <c r="BV51" i="13"/>
  <c r="BC51" i="13"/>
  <c r="BG51" i="13"/>
  <c r="BK51" i="13"/>
  <c r="BO51" i="13"/>
  <c r="BS51" i="13"/>
  <c r="CP51" i="13"/>
  <c r="BD51" i="13"/>
  <c r="BL51" i="13"/>
  <c r="BT51" i="13"/>
  <c r="BE51" i="13"/>
  <c r="BM51" i="13"/>
  <c r="BU51" i="13"/>
  <c r="BH51" i="13"/>
  <c r="BP51" i="13"/>
  <c r="BI51" i="13"/>
  <c r="BA51" i="13"/>
  <c r="BQ51" i="13"/>
  <c r="BB71" i="13"/>
  <c r="BF71" i="13"/>
  <c r="BJ71" i="13"/>
  <c r="BN71" i="13"/>
  <c r="BR71" i="13"/>
  <c r="BV71" i="13"/>
  <c r="BC71" i="13"/>
  <c r="BG71" i="13"/>
  <c r="BK71" i="13"/>
  <c r="BO71" i="13"/>
  <c r="BS71" i="13"/>
  <c r="CP71" i="13"/>
  <c r="BD71" i="13"/>
  <c r="BL71" i="13"/>
  <c r="BT71" i="13"/>
  <c r="BP71" i="13"/>
  <c r="BE71" i="13"/>
  <c r="BM71" i="13"/>
  <c r="BU71" i="13"/>
  <c r="AZ71" i="13"/>
  <c r="BH71" i="13"/>
  <c r="BA71" i="13"/>
  <c r="BQ71" i="13"/>
  <c r="BI71" i="13"/>
  <c r="BB53" i="13"/>
  <c r="BF53" i="13"/>
  <c r="BJ53" i="13"/>
  <c r="BN53" i="13"/>
  <c r="BR53" i="13"/>
  <c r="BV53" i="13"/>
  <c r="BC53" i="13"/>
  <c r="BG53" i="13"/>
  <c r="BK53" i="13"/>
  <c r="BO53" i="13"/>
  <c r="BS53" i="13"/>
  <c r="CP53" i="13"/>
  <c r="BD53" i="13"/>
  <c r="BL53" i="13"/>
  <c r="BT53" i="13"/>
  <c r="AZ53" i="13"/>
  <c r="BP53" i="13"/>
  <c r="BE53" i="13"/>
  <c r="BM53" i="13"/>
  <c r="BU53" i="13"/>
  <c r="BH53" i="13"/>
  <c r="BA53" i="13"/>
  <c r="BI53" i="13"/>
  <c r="BQ53" i="13"/>
  <c r="BB54" i="13"/>
  <c r="BF54" i="13"/>
  <c r="BJ54" i="13"/>
  <c r="BN54" i="13"/>
  <c r="BR54" i="13"/>
  <c r="BV54" i="13"/>
  <c r="BC54" i="13"/>
  <c r="BG54" i="13"/>
  <c r="BK54" i="13"/>
  <c r="BO54" i="13"/>
  <c r="BS54" i="13"/>
  <c r="CP54" i="13"/>
  <c r="BD54" i="13"/>
  <c r="BL54" i="13"/>
  <c r="BT54" i="13"/>
  <c r="BP54" i="13"/>
  <c r="BE54" i="13"/>
  <c r="BM54" i="13"/>
  <c r="BU54" i="13"/>
  <c r="AZ54" i="13"/>
  <c r="BH54" i="13"/>
  <c r="BA54" i="13"/>
  <c r="BI54" i="13"/>
  <c r="BQ54" i="13"/>
  <c r="BB70" i="13"/>
  <c r="BF70" i="13"/>
  <c r="BJ70" i="13"/>
  <c r="BN70" i="13"/>
  <c r="BR70" i="13"/>
  <c r="BV70" i="13"/>
  <c r="BC70" i="13"/>
  <c r="BG70" i="13"/>
  <c r="BK70" i="13"/>
  <c r="BO70" i="13"/>
  <c r="BS70" i="13"/>
  <c r="CP70" i="13"/>
  <c r="BD70" i="13"/>
  <c r="BL70" i="13"/>
  <c r="BT70" i="13"/>
  <c r="AZ70" i="13"/>
  <c r="BH70" i="13"/>
  <c r="BE70" i="13"/>
  <c r="BM70" i="13"/>
  <c r="BU70" i="13"/>
  <c r="BP70" i="13"/>
  <c r="BQ70" i="13"/>
  <c r="BA70" i="13"/>
  <c r="BI70" i="13"/>
  <c r="BB75" i="13"/>
  <c r="BF75" i="13"/>
  <c r="BJ75" i="13"/>
  <c r="BN75" i="13"/>
  <c r="BR75" i="13"/>
  <c r="BV75" i="13"/>
  <c r="BC75" i="13"/>
  <c r="BG75" i="13"/>
  <c r="BK75" i="13"/>
  <c r="BO75" i="13"/>
  <c r="BS75" i="13"/>
  <c r="CP75" i="13"/>
  <c r="BD75" i="13"/>
  <c r="BL75" i="13"/>
  <c r="BT75" i="13"/>
  <c r="BP75" i="13"/>
  <c r="BE75" i="13"/>
  <c r="BM75" i="13"/>
  <c r="BU75" i="13"/>
  <c r="AZ75" i="13"/>
  <c r="BH75" i="13"/>
  <c r="BA75" i="13"/>
  <c r="BI75" i="13"/>
  <c r="BQ75" i="13"/>
  <c r="BB76" i="13"/>
  <c r="BF76" i="13"/>
  <c r="BJ76" i="13"/>
  <c r="BN76" i="13"/>
  <c r="BR76" i="13"/>
  <c r="BV76" i="13"/>
  <c r="BC76" i="13"/>
  <c r="BG76" i="13"/>
  <c r="BK76" i="13"/>
  <c r="BO76" i="13"/>
  <c r="BS76" i="13"/>
  <c r="CP76" i="13"/>
  <c r="BD76" i="13"/>
  <c r="BL76" i="13"/>
  <c r="BT76" i="13"/>
  <c r="BH76" i="13"/>
  <c r="BE76" i="13"/>
  <c r="BM76" i="13"/>
  <c r="BU76" i="13"/>
  <c r="BP76" i="13"/>
  <c r="BI76" i="13"/>
  <c r="AZ76" i="13"/>
  <c r="BQ76" i="13"/>
  <c r="BA76" i="13"/>
  <c r="BB73" i="13"/>
  <c r="BF73" i="13"/>
  <c r="BJ73" i="13"/>
  <c r="BN73" i="13"/>
  <c r="BR73" i="13"/>
  <c r="BV73" i="13"/>
  <c r="BC73" i="13"/>
  <c r="BG73" i="13"/>
  <c r="BK73" i="13"/>
  <c r="BO73" i="13"/>
  <c r="BS73" i="13"/>
  <c r="CP73" i="13"/>
  <c r="BD73" i="13"/>
  <c r="BL73" i="13"/>
  <c r="BT73" i="13"/>
  <c r="BP73" i="13"/>
  <c r="BE73" i="13"/>
  <c r="BM73" i="13"/>
  <c r="BU73" i="13"/>
  <c r="BH73" i="13"/>
  <c r="BQ73" i="13"/>
  <c r="BA73" i="13"/>
  <c r="BI73" i="13"/>
  <c r="AZ73" i="13"/>
  <c r="BB74" i="13"/>
  <c r="BF74" i="13"/>
  <c r="BJ74" i="13"/>
  <c r="BN74" i="13"/>
  <c r="BR74" i="13"/>
  <c r="BV74" i="13"/>
  <c r="BC74" i="13"/>
  <c r="BG74" i="13"/>
  <c r="BK74" i="13"/>
  <c r="BO74" i="13"/>
  <c r="BS74" i="13"/>
  <c r="CP74" i="13"/>
  <c r="BD74" i="13"/>
  <c r="BL74" i="13"/>
  <c r="BT74" i="13"/>
  <c r="AZ74" i="13"/>
  <c r="BH74" i="13"/>
  <c r="BE74" i="13"/>
  <c r="BM74" i="13"/>
  <c r="BU74" i="13"/>
  <c r="BP74" i="13"/>
  <c r="BQ74" i="13"/>
  <c r="BA74" i="13"/>
  <c r="BI74" i="13"/>
  <c r="BB79" i="13"/>
  <c r="BF79" i="13"/>
  <c r="BJ79" i="13"/>
  <c r="BN79" i="13"/>
  <c r="BR79" i="13"/>
  <c r="BV79" i="13"/>
  <c r="BC79" i="13"/>
  <c r="BG79" i="13"/>
  <c r="BK79" i="13"/>
  <c r="BO79" i="13"/>
  <c r="BS79" i="13"/>
  <c r="CP79" i="13"/>
  <c r="AZ79" i="13"/>
  <c r="BD79" i="13"/>
  <c r="BL79" i="13"/>
  <c r="BT79" i="13"/>
  <c r="BP79" i="13"/>
  <c r="BA79" i="13"/>
  <c r="BQ79" i="13"/>
  <c r="BE79" i="13"/>
  <c r="BM79" i="13"/>
  <c r="BU79" i="13"/>
  <c r="BH79" i="13"/>
  <c r="DD79" i="13"/>
  <c r="BI79" i="13"/>
  <c r="BV86" i="13"/>
  <c r="CD86" i="13"/>
  <c r="CH86" i="13"/>
  <c r="BW86" i="13"/>
  <c r="CE86" i="13"/>
  <c r="CI86" i="13"/>
  <c r="BX86" i="13"/>
  <c r="CF86" i="13"/>
  <c r="CJ86" i="13"/>
  <c r="BU86" i="13"/>
  <c r="BY86" i="13"/>
  <c r="CG86" i="13"/>
  <c r="BB55" i="13"/>
  <c r="BF55" i="13"/>
  <c r="BJ55" i="13"/>
  <c r="BN55" i="13"/>
  <c r="BR55" i="13"/>
  <c r="BV55" i="13"/>
  <c r="BC55" i="13"/>
  <c r="BG55" i="13"/>
  <c r="BK55" i="13"/>
  <c r="BO55" i="13"/>
  <c r="BS55" i="13"/>
  <c r="CP55" i="13"/>
  <c r="BD55" i="13"/>
  <c r="BL55" i="13"/>
  <c r="BT55" i="13"/>
  <c r="BH55" i="13"/>
  <c r="BE55" i="13"/>
  <c r="BM55" i="13"/>
  <c r="BU55" i="13"/>
  <c r="BP55" i="13"/>
  <c r="BI55" i="13"/>
  <c r="AZ55" i="13"/>
  <c r="BA55" i="13"/>
  <c r="BQ55" i="13"/>
  <c r="BB72" i="13"/>
  <c r="BF72" i="13"/>
  <c r="BJ72" i="13"/>
  <c r="BN72" i="13"/>
  <c r="BR72" i="13"/>
  <c r="BV72" i="13"/>
  <c r="BC72" i="13"/>
  <c r="BG72" i="13"/>
  <c r="BK72" i="13"/>
  <c r="BO72" i="13"/>
  <c r="BS72" i="13"/>
  <c r="CP72" i="13"/>
  <c r="BD72" i="13"/>
  <c r="BL72" i="13"/>
  <c r="BT72" i="13"/>
  <c r="BH72" i="13"/>
  <c r="BP72" i="13"/>
  <c r="BE72" i="13"/>
  <c r="BM72" i="13"/>
  <c r="BU72" i="13"/>
  <c r="BI72" i="13"/>
  <c r="BQ72" i="13"/>
  <c r="AZ72" i="13"/>
  <c r="BA72" i="13"/>
  <c r="BB69" i="13"/>
  <c r="BF69" i="13"/>
  <c r="BJ69" i="13"/>
  <c r="BN69" i="13"/>
  <c r="BR69" i="13"/>
  <c r="BV69" i="13"/>
  <c r="BC69" i="13"/>
  <c r="BG69" i="13"/>
  <c r="BK69" i="13"/>
  <c r="BO69" i="13"/>
  <c r="BS69" i="13"/>
  <c r="CP69" i="13"/>
  <c r="BD69" i="13"/>
  <c r="BL69" i="13"/>
  <c r="BT69" i="13"/>
  <c r="BP69" i="13"/>
  <c r="BE69" i="13"/>
  <c r="BM69" i="13"/>
  <c r="BU69" i="13"/>
  <c r="BH69" i="13"/>
  <c r="BQ69" i="13"/>
  <c r="AZ69" i="13"/>
  <c r="BA69" i="13"/>
  <c r="BI69" i="13"/>
  <c r="BB80" i="13"/>
  <c r="BF80" i="13"/>
  <c r="BJ80" i="13"/>
  <c r="BN80" i="13"/>
  <c r="BR80" i="13"/>
  <c r="BV80" i="13"/>
  <c r="BC80" i="13"/>
  <c r="BG80" i="13"/>
  <c r="BK80" i="13"/>
  <c r="BO80" i="13"/>
  <c r="BS80" i="13"/>
  <c r="CP80" i="13"/>
  <c r="BD80" i="13"/>
  <c r="BL80" i="13"/>
  <c r="BT80" i="13"/>
  <c r="BH80" i="13"/>
  <c r="AZ80" i="13"/>
  <c r="BI80" i="13"/>
  <c r="BE80" i="13"/>
  <c r="BM80" i="13"/>
  <c r="BU80" i="13"/>
  <c r="BP80" i="13"/>
  <c r="BA80" i="13"/>
  <c r="BQ80" i="13"/>
  <c r="BB77" i="13"/>
  <c r="BF77" i="13"/>
  <c r="BJ77" i="13"/>
  <c r="BN77" i="13"/>
  <c r="BR77" i="13"/>
  <c r="BC77" i="13"/>
  <c r="BG77" i="13"/>
  <c r="BK77" i="13"/>
  <c r="BO77" i="13"/>
  <c r="BS77" i="13"/>
  <c r="CP77" i="13"/>
  <c r="BD77" i="13"/>
  <c r="BL77" i="13"/>
  <c r="BT77" i="13"/>
  <c r="BP77" i="13"/>
  <c r="BE77" i="13"/>
  <c r="BM77" i="13"/>
  <c r="BU77" i="13"/>
  <c r="BH77" i="13"/>
  <c r="BV77" i="13"/>
  <c r="BQ77" i="13"/>
  <c r="BI77" i="13"/>
  <c r="AZ77" i="13"/>
  <c r="BA77" i="13"/>
  <c r="BC78" i="13"/>
  <c r="BA78" i="13"/>
  <c r="BF78" i="13"/>
  <c r="BJ78" i="13"/>
  <c r="BN78" i="13"/>
  <c r="BR78" i="13"/>
  <c r="BV78" i="13"/>
  <c r="AZ78" i="13"/>
  <c r="BD78" i="13"/>
  <c r="BL78" i="13"/>
  <c r="BT78" i="13"/>
  <c r="BB78" i="13"/>
  <c r="BG78" i="13"/>
  <c r="BK78" i="13"/>
  <c r="BO78" i="13"/>
  <c r="BS78" i="13"/>
  <c r="CP78" i="13"/>
  <c r="BH78" i="13"/>
  <c r="BP78" i="13"/>
  <c r="BM78" i="13"/>
  <c r="BQ78" i="13"/>
  <c r="BE78" i="13"/>
  <c r="BU78" i="13"/>
  <c r="BI78" i="13"/>
  <c r="BX85" i="13"/>
  <c r="BV85" i="13"/>
  <c r="CD85" i="13"/>
  <c r="CH85" i="13"/>
  <c r="CJ85" i="13"/>
  <c r="BY85" i="13"/>
  <c r="BW85" i="13"/>
  <c r="CE85" i="13"/>
  <c r="CI85" i="13"/>
  <c r="CF85" i="13"/>
  <c r="BU85" i="13"/>
  <c r="CG85" i="13"/>
  <c r="AQ238" i="13"/>
  <c r="AQ239" i="13" s="1"/>
  <c r="AL153" i="13"/>
  <c r="AQ153" i="13"/>
  <c r="AG153" i="13"/>
  <c r="AO237" i="13"/>
  <c r="AQ177" i="13"/>
  <c r="AO177" i="13"/>
  <c r="AF177" i="13"/>
  <c r="AD177" i="13"/>
  <c r="AM153" i="13"/>
  <c r="AC238" i="13"/>
  <c r="AE177" i="13"/>
  <c r="AP177" i="13"/>
  <c r="AM177" i="13"/>
  <c r="AN147" i="13"/>
  <c r="AG238" i="13"/>
  <c r="AD153" i="13"/>
  <c r="AL147" i="13"/>
  <c r="AM147" i="13"/>
  <c r="AN153" i="13"/>
  <c r="AE237" i="13"/>
  <c r="AO147" i="13"/>
  <c r="AE153" i="13"/>
  <c r="AP237" i="13"/>
  <c r="AL237" i="13"/>
  <c r="AP153" i="13"/>
  <c r="AO153" i="13"/>
  <c r="AF237" i="13"/>
  <c r="AQ147" i="13"/>
  <c r="AD238" i="13"/>
  <c r="AM238" i="13"/>
  <c r="AN178" i="13"/>
  <c r="AP147" i="13"/>
  <c r="AN237" i="13"/>
  <c r="AL177" i="13"/>
  <c r="AG177" i="13"/>
  <c r="AC153" i="13"/>
  <c r="AC177" i="13"/>
  <c r="AF153" i="13"/>
  <c r="W152" i="13"/>
  <c r="S152" i="13"/>
  <c r="B149" i="13"/>
  <c r="V149" i="13"/>
  <c r="AV86" i="13"/>
  <c r="AZ86" i="13"/>
  <c r="BD86" i="13"/>
  <c r="BH86" i="13"/>
  <c r="BL86" i="13"/>
  <c r="BP86" i="13"/>
  <c r="AY86" i="13"/>
  <c r="BE86" i="13"/>
  <c r="BJ86" i="13"/>
  <c r="BO86" i="13"/>
  <c r="AW86" i="13"/>
  <c r="BC86" i="13"/>
  <c r="BK86" i="13"/>
  <c r="BB86" i="13"/>
  <c r="BM86" i="13"/>
  <c r="BF86" i="13"/>
  <c r="BQ86" i="13"/>
  <c r="AT86" i="13"/>
  <c r="AU86" i="13"/>
  <c r="BG86" i="13"/>
  <c r="BI86" i="13"/>
  <c r="BN86" i="13"/>
  <c r="AX86" i="13"/>
  <c r="BA86" i="13"/>
  <c r="G152" i="13"/>
  <c r="H152" i="13"/>
  <c r="C152" i="13"/>
  <c r="R152" i="13"/>
  <c r="A88" i="13"/>
  <c r="AS87" i="13"/>
  <c r="J152" i="13"/>
  <c r="O152" i="13"/>
  <c r="P152" i="13"/>
  <c r="K152" i="13"/>
  <c r="F149" i="13"/>
  <c r="K149" i="13"/>
  <c r="J149" i="13"/>
  <c r="L152" i="13"/>
  <c r="L149" i="13"/>
  <c r="E152" i="13"/>
  <c r="E149" i="13"/>
  <c r="I152" i="13"/>
  <c r="I149" i="13"/>
  <c r="E176" i="13"/>
  <c r="L60" i="13"/>
  <c r="BC60" i="13" s="1"/>
  <c r="O176" i="13"/>
  <c r="V60" i="13"/>
  <c r="BM60" i="13" s="1"/>
  <c r="N176" i="13"/>
  <c r="U60" i="13"/>
  <c r="BL60" i="13" s="1"/>
  <c r="Q152" i="13"/>
  <c r="C176" i="13"/>
  <c r="J60" i="13"/>
  <c r="BA60" i="13" s="1"/>
  <c r="S176" i="13"/>
  <c r="Z60" i="13"/>
  <c r="BQ60" i="13" s="1"/>
  <c r="P176" i="13"/>
  <c r="W60" i="13"/>
  <c r="BN60" i="13" s="1"/>
  <c r="R176" i="13"/>
  <c r="Y60" i="13"/>
  <c r="BP60" i="13" s="1"/>
  <c r="C149" i="13"/>
  <c r="S149" i="13"/>
  <c r="K176" i="13"/>
  <c r="R60" i="13"/>
  <c r="BI60" i="13" s="1"/>
  <c r="L176" i="13"/>
  <c r="S60" i="13"/>
  <c r="BJ60" i="13" s="1"/>
  <c r="J176" i="13"/>
  <c r="Q60" i="13"/>
  <c r="BH60" i="13" s="1"/>
  <c r="U176" i="13"/>
  <c r="AB60" i="13"/>
  <c r="BS60" i="13" s="1"/>
  <c r="T152" i="13"/>
  <c r="T149" i="13"/>
  <c r="X176" i="13"/>
  <c r="AE60" i="13"/>
  <c r="BV60" i="13" s="1"/>
  <c r="I176" i="13"/>
  <c r="P60" i="13"/>
  <c r="BG60" i="13" s="1"/>
  <c r="H149" i="13"/>
  <c r="X152" i="13"/>
  <c r="X149" i="13"/>
  <c r="T176" i="13"/>
  <c r="AA60" i="13"/>
  <c r="BR60" i="13" s="1"/>
  <c r="U152" i="13"/>
  <c r="U149" i="13"/>
  <c r="M152" i="13"/>
  <c r="M149" i="13"/>
  <c r="M176" i="13"/>
  <c r="T60" i="13"/>
  <c r="BK60" i="13" s="1"/>
  <c r="G176" i="13"/>
  <c r="N60" i="13"/>
  <c r="BE60" i="13" s="1"/>
  <c r="W176" i="13"/>
  <c r="AD60" i="13"/>
  <c r="BU60" i="13" s="1"/>
  <c r="D152" i="13"/>
  <c r="D149" i="13"/>
  <c r="H176" i="13"/>
  <c r="O60" i="13"/>
  <c r="BF60" i="13" s="1"/>
  <c r="D176" i="13"/>
  <c r="K60" i="13"/>
  <c r="BB60" i="13" s="1"/>
  <c r="F176" i="13"/>
  <c r="M60" i="13"/>
  <c r="BD60" i="13" s="1"/>
  <c r="V176" i="13"/>
  <c r="AC60" i="13"/>
  <c r="BT60" i="13" s="1"/>
  <c r="B176" i="13"/>
  <c r="I60" i="13"/>
  <c r="AZ60" i="13" s="1"/>
  <c r="Q176" i="13"/>
  <c r="X60" i="13"/>
  <c r="BO60" i="13" s="1"/>
  <c r="G149" i="13"/>
  <c r="W149" i="13"/>
  <c r="V152" i="13"/>
  <c r="N152" i="13"/>
  <c r="F152" i="13"/>
  <c r="B152" i="13"/>
  <c r="I14" i="12"/>
  <c r="S3" i="12"/>
  <c r="R4" i="12"/>
  <c r="P4" i="12"/>
  <c r="O4" i="12"/>
  <c r="Q4" i="12"/>
  <c r="I12" i="12"/>
  <c r="I22" i="12"/>
  <c r="I17" i="12"/>
  <c r="I6" i="11"/>
  <c r="I13" i="11"/>
  <c r="I15" i="11"/>
  <c r="I14" i="11"/>
  <c r="I22" i="11"/>
  <c r="I5" i="11"/>
  <c r="I23" i="11"/>
  <c r="I16" i="11"/>
  <c r="I11" i="11"/>
  <c r="I20" i="11"/>
  <c r="I19" i="11"/>
  <c r="I8" i="11"/>
  <c r="I10" i="11"/>
  <c r="I7" i="11"/>
  <c r="I21" i="11"/>
  <c r="I17" i="11"/>
  <c r="EH60" i="13" l="1"/>
  <c r="EF58" i="13"/>
  <c r="EG55" i="13"/>
  <c r="EF55" i="13"/>
  <c r="EH55" i="13"/>
  <c r="CV77" i="13"/>
  <c r="EF77" i="13"/>
  <c r="EG77" i="13"/>
  <c r="EH77" i="13"/>
  <c r="DD78" i="13"/>
  <c r="EG78" i="13"/>
  <c r="EF78" i="13"/>
  <c r="EH78" i="13"/>
  <c r="CX80" i="13"/>
  <c r="EH80" i="13"/>
  <c r="EF80" i="13"/>
  <c r="EG80" i="13"/>
  <c r="EF73" i="13"/>
  <c r="EH73" i="13"/>
  <c r="EG73" i="13"/>
  <c r="EH79" i="13"/>
  <c r="EF79" i="13"/>
  <c r="EG79" i="13"/>
  <c r="CZ74" i="13"/>
  <c r="EG74" i="13"/>
  <c r="EH74" i="13"/>
  <c r="EF74" i="13"/>
  <c r="EF57" i="13"/>
  <c r="EF60" i="13"/>
  <c r="EH58" i="13"/>
  <c r="CZ75" i="13"/>
  <c r="EH75" i="13"/>
  <c r="EG75" i="13"/>
  <c r="EF75" i="13"/>
  <c r="EG70" i="13"/>
  <c r="EF70" i="13"/>
  <c r="EH70" i="13"/>
  <c r="EF52" i="13"/>
  <c r="EG52" i="13"/>
  <c r="EH52" i="13"/>
  <c r="EF69" i="13"/>
  <c r="EG69" i="13"/>
  <c r="EH69" i="13"/>
  <c r="DC53" i="13"/>
  <c r="EG53" i="13"/>
  <c r="EH53" i="13"/>
  <c r="EF53" i="13"/>
  <c r="EH57" i="13"/>
  <c r="DY58" i="13"/>
  <c r="DW58" i="13"/>
  <c r="DW57" i="13"/>
  <c r="DR57" i="13"/>
  <c r="EH54" i="13"/>
  <c r="EG54" i="13"/>
  <c r="EF54" i="13"/>
  <c r="EG51" i="13"/>
  <c r="EH51" i="13"/>
  <c r="EF51" i="13"/>
  <c r="DE71" i="13"/>
  <c r="EH71" i="13"/>
  <c r="EF71" i="13"/>
  <c r="EG71" i="13"/>
  <c r="EH72" i="13"/>
  <c r="EF72" i="13"/>
  <c r="EG72" i="13"/>
  <c r="DH76" i="13"/>
  <c r="EG76" i="13"/>
  <c r="EF76" i="13"/>
  <c r="EH76" i="13"/>
  <c r="EG57" i="13"/>
  <c r="EG60" i="13"/>
  <c r="EG58" i="13"/>
  <c r="DX58" i="13"/>
  <c r="DY57" i="13"/>
  <c r="DQ57" i="13"/>
  <c r="DU57" i="13"/>
  <c r="DV60" i="13"/>
  <c r="DV58" i="13"/>
  <c r="DX57" i="13"/>
  <c r="DV57" i="13"/>
  <c r="DT57" i="13"/>
  <c r="DZ66" i="13"/>
  <c r="DT66" i="13"/>
  <c r="Z163" i="13"/>
  <c r="Z187" i="13"/>
  <c r="AB138" i="13"/>
  <c r="AA163" i="13"/>
  <c r="BS87" i="13"/>
  <c r="BT87" i="13"/>
  <c r="BR87" i="13"/>
  <c r="AB187" i="13"/>
  <c r="AB163" i="13"/>
  <c r="Z138" i="13"/>
  <c r="AA138" i="13"/>
  <c r="AA187" i="13"/>
  <c r="DS60" i="13"/>
  <c r="EA60" i="13"/>
  <c r="DU66" i="13"/>
  <c r="DR66" i="13"/>
  <c r="DR60" i="13"/>
  <c r="DQ60" i="13"/>
  <c r="DS66" i="13"/>
  <c r="EE60" i="13"/>
  <c r="EA66" i="13"/>
  <c r="DY60" i="13"/>
  <c r="EB66" i="13"/>
  <c r="DZ60" i="13"/>
  <c r="EC60" i="13"/>
  <c r="DT60" i="13"/>
  <c r="ED60" i="13"/>
  <c r="DX60" i="13"/>
  <c r="DU60" i="13"/>
  <c r="DY67" i="13"/>
  <c r="DW60" i="13"/>
  <c r="DY75" i="13"/>
  <c r="DQ75" i="13"/>
  <c r="DV75" i="13"/>
  <c r="DX75" i="13"/>
  <c r="DW75" i="13"/>
  <c r="EC75" i="13"/>
  <c r="DT75" i="13"/>
  <c r="DZ75" i="13"/>
  <c r="EB75" i="13"/>
  <c r="EA75" i="13"/>
  <c r="DU75" i="13"/>
  <c r="DR75" i="13"/>
  <c r="ED75" i="13"/>
  <c r="EI75" i="13"/>
  <c r="EE75" i="13"/>
  <c r="DS75" i="13"/>
  <c r="DX70" i="13"/>
  <c r="EI70" i="13"/>
  <c r="DR70" i="13"/>
  <c r="DQ70" i="13"/>
  <c r="DY70" i="13"/>
  <c r="DU70" i="13"/>
  <c r="EC70" i="13"/>
  <c r="DT70" i="13"/>
  <c r="EB70" i="13"/>
  <c r="EE70" i="13"/>
  <c r="DS70" i="13"/>
  <c r="EA70" i="13"/>
  <c r="ED70" i="13"/>
  <c r="DV70" i="13"/>
  <c r="DW70" i="13"/>
  <c r="DZ70" i="13"/>
  <c r="DQ52" i="13"/>
  <c r="DS52" i="13"/>
  <c r="DR52" i="13"/>
  <c r="DY52" i="13"/>
  <c r="EI52" i="13"/>
  <c r="DT52" i="13"/>
  <c r="DZ52" i="13"/>
  <c r="DX52" i="13"/>
  <c r="ED52" i="13"/>
  <c r="DU52" i="13"/>
  <c r="EC52" i="13"/>
  <c r="EE52" i="13"/>
  <c r="EA52" i="13"/>
  <c r="DV52" i="13"/>
  <c r="EB52" i="13"/>
  <c r="DW52" i="13"/>
  <c r="DT51" i="13"/>
  <c r="CT51" i="13"/>
  <c r="DU51" i="13"/>
  <c r="DZ51" i="13"/>
  <c r="DQ51" i="13"/>
  <c r="DV51" i="13"/>
  <c r="EA51" i="13"/>
  <c r="DS51" i="13"/>
  <c r="DY51" i="13"/>
  <c r="ED51" i="13"/>
  <c r="EE51" i="13"/>
  <c r="EC51" i="13"/>
  <c r="DR51" i="13"/>
  <c r="DW51" i="13"/>
  <c r="EI51" i="13"/>
  <c r="EB51" i="13"/>
  <c r="DX51" i="13"/>
  <c r="DQ71" i="13"/>
  <c r="DY71" i="13"/>
  <c r="DV71" i="13"/>
  <c r="DX71" i="13"/>
  <c r="DW71" i="13"/>
  <c r="DS71" i="13"/>
  <c r="DZ71" i="13"/>
  <c r="EB71" i="13"/>
  <c r="EA71" i="13"/>
  <c r="EC71" i="13"/>
  <c r="DR71" i="13"/>
  <c r="ED71" i="13"/>
  <c r="EI71" i="13"/>
  <c r="EE71" i="13"/>
  <c r="DU71" i="13"/>
  <c r="DT71" i="13"/>
  <c r="DV66" i="13"/>
  <c r="DT69" i="13"/>
  <c r="ED69" i="13"/>
  <c r="DV69" i="13"/>
  <c r="DW69" i="13"/>
  <c r="EC69" i="13"/>
  <c r="DX69" i="13"/>
  <c r="EA69" i="13"/>
  <c r="DQ69" i="13"/>
  <c r="EB69" i="13"/>
  <c r="DS69" i="13"/>
  <c r="DY69" i="13"/>
  <c r="DZ69" i="13"/>
  <c r="EI69" i="13"/>
  <c r="EE69" i="13"/>
  <c r="DU69" i="13"/>
  <c r="DR69" i="13"/>
  <c r="EI79" i="13"/>
  <c r="DQ79" i="13"/>
  <c r="DX79" i="13"/>
  <c r="DZ79" i="13"/>
  <c r="DW79" i="13"/>
  <c r="DU79" i="13"/>
  <c r="DV79" i="13"/>
  <c r="EB79" i="13"/>
  <c r="ED79" i="13"/>
  <c r="EA79" i="13"/>
  <c r="DR79" i="13"/>
  <c r="DT79" i="13"/>
  <c r="EE79" i="13"/>
  <c r="DS79" i="13"/>
  <c r="DY79" i="13"/>
  <c r="EC79" i="13"/>
  <c r="DQ74" i="13"/>
  <c r="DY74" i="13"/>
  <c r="DT74" i="13"/>
  <c r="EB74" i="13"/>
  <c r="DX74" i="13"/>
  <c r="EI74" i="13"/>
  <c r="EC74" i="13"/>
  <c r="DR74" i="13"/>
  <c r="DU74" i="13"/>
  <c r="EE74" i="13"/>
  <c r="DV74" i="13"/>
  <c r="DZ74" i="13"/>
  <c r="EA74" i="13"/>
  <c r="DS74" i="13"/>
  <c r="DW74" i="13"/>
  <c r="ED74" i="13"/>
  <c r="DS73" i="13"/>
  <c r="EB73" i="13"/>
  <c r="DT73" i="13"/>
  <c r="EI73" i="13"/>
  <c r="DR73" i="13"/>
  <c r="DU73" i="13"/>
  <c r="DW73" i="13"/>
  <c r="DX73" i="13"/>
  <c r="ED73" i="13"/>
  <c r="DQ73" i="13"/>
  <c r="EE73" i="13"/>
  <c r="DV73" i="13"/>
  <c r="EC73" i="13"/>
  <c r="EA73" i="13"/>
  <c r="DZ73" i="13"/>
  <c r="DY73" i="13"/>
  <c r="CV73" i="13"/>
  <c r="ED66" i="13"/>
  <c r="DY54" i="13"/>
  <c r="EC54" i="13"/>
  <c r="DU54" i="13"/>
  <c r="DQ54" i="13"/>
  <c r="DV54" i="13"/>
  <c r="DX54" i="13"/>
  <c r="DW54" i="13"/>
  <c r="DR54" i="13"/>
  <c r="DZ54" i="13"/>
  <c r="EB54" i="13"/>
  <c r="EA54" i="13"/>
  <c r="DS54" i="13"/>
  <c r="ED54" i="13"/>
  <c r="EI54" i="13"/>
  <c r="EE54" i="13"/>
  <c r="DT54" i="13"/>
  <c r="DQ55" i="13"/>
  <c r="DY55" i="13"/>
  <c r="DV55" i="13"/>
  <c r="DX55" i="13"/>
  <c r="DW55" i="13"/>
  <c r="DT55" i="13"/>
  <c r="DU55" i="13"/>
  <c r="DZ55" i="13"/>
  <c r="EB55" i="13"/>
  <c r="EA55" i="13"/>
  <c r="DS55" i="13"/>
  <c r="ED55" i="13"/>
  <c r="EI55" i="13"/>
  <c r="EE55" i="13"/>
  <c r="EC55" i="13"/>
  <c r="DR55" i="13"/>
  <c r="DQ66" i="13"/>
  <c r="DY66" i="13"/>
  <c r="DX77" i="13"/>
  <c r="DR77" i="13"/>
  <c r="DZ77" i="13"/>
  <c r="EB77" i="13"/>
  <c r="DQ77" i="13"/>
  <c r="DW77" i="13"/>
  <c r="DU77" i="13"/>
  <c r="DV77" i="13"/>
  <c r="DT77" i="13"/>
  <c r="DS77" i="13"/>
  <c r="EA77" i="13"/>
  <c r="DY77" i="13"/>
  <c r="ED77" i="13"/>
  <c r="EI77" i="13"/>
  <c r="EE77" i="13"/>
  <c r="EC77" i="13"/>
  <c r="DS72" i="13"/>
  <c r="DT72" i="13"/>
  <c r="DY72" i="13"/>
  <c r="ED72" i="13"/>
  <c r="DU72" i="13"/>
  <c r="DZ72" i="13"/>
  <c r="EI72" i="13"/>
  <c r="DR72" i="13"/>
  <c r="DX72" i="13"/>
  <c r="EC72" i="13"/>
  <c r="DV72" i="13"/>
  <c r="EB72" i="13"/>
  <c r="DQ72" i="13"/>
  <c r="EA72" i="13"/>
  <c r="DW72" i="13"/>
  <c r="EE72" i="13"/>
  <c r="DR76" i="13"/>
  <c r="DQ76" i="13"/>
  <c r="DW76" i="13"/>
  <c r="EB76" i="13"/>
  <c r="DS76" i="13"/>
  <c r="DX76" i="13"/>
  <c r="EC76" i="13"/>
  <c r="DU76" i="13"/>
  <c r="EA76" i="13"/>
  <c r="EI76" i="13"/>
  <c r="DT76" i="13"/>
  <c r="EE76" i="13"/>
  <c r="DY76" i="13"/>
  <c r="DV76" i="13"/>
  <c r="DZ76" i="13"/>
  <c r="ED76" i="13"/>
  <c r="DZ53" i="13"/>
  <c r="DQ53" i="13"/>
  <c r="ED53" i="13"/>
  <c r="DV53" i="13"/>
  <c r="EI53" i="13"/>
  <c r="DT53" i="13"/>
  <c r="DW53" i="13"/>
  <c r="DY53" i="13"/>
  <c r="DX53" i="13"/>
  <c r="DR53" i="13"/>
  <c r="DS53" i="13"/>
  <c r="DU53" i="13"/>
  <c r="EB53" i="13"/>
  <c r="EE53" i="13"/>
  <c r="EA53" i="13"/>
  <c r="EC53" i="13"/>
  <c r="DY68" i="13"/>
  <c r="DW66" i="13"/>
  <c r="DT80" i="13"/>
  <c r="DR80" i="13"/>
  <c r="DW80" i="13"/>
  <c r="EC80" i="13"/>
  <c r="DS80" i="13"/>
  <c r="DY80" i="13"/>
  <c r="ED80" i="13"/>
  <c r="DQ80" i="13"/>
  <c r="DV80" i="13"/>
  <c r="EA80" i="13"/>
  <c r="DZ80" i="13"/>
  <c r="EE80" i="13"/>
  <c r="DU80" i="13"/>
  <c r="DX80" i="13"/>
  <c r="EI80" i="13"/>
  <c r="EB80" i="13"/>
  <c r="DU78" i="13"/>
  <c r="EC78" i="13"/>
  <c r="DX78" i="13"/>
  <c r="EI78" i="13"/>
  <c r="DR78" i="13"/>
  <c r="DT78" i="13"/>
  <c r="EB78" i="13"/>
  <c r="DQ78" i="13"/>
  <c r="DY78" i="13"/>
  <c r="EE78" i="13"/>
  <c r="DZ78" i="13"/>
  <c r="EA78" i="13"/>
  <c r="DV78" i="13"/>
  <c r="DW78" i="13"/>
  <c r="DS78" i="13"/>
  <c r="ED78" i="13"/>
  <c r="EC66" i="13"/>
  <c r="DU56" i="13"/>
  <c r="DS56" i="13"/>
  <c r="DT56" i="13"/>
  <c r="DR56" i="13"/>
  <c r="CB87" i="13"/>
  <c r="CC87" i="13"/>
  <c r="BZ87" i="13"/>
  <c r="CA87" i="13"/>
  <c r="AI126" i="13"/>
  <c r="AH180" i="13"/>
  <c r="AK108" i="13"/>
  <c r="AI240" i="13"/>
  <c r="AJ144" i="13"/>
  <c r="AJ180" i="13"/>
  <c r="AH108" i="13"/>
  <c r="AH241" i="13"/>
  <c r="AH144" i="13"/>
  <c r="AH156" i="13"/>
  <c r="AI108" i="13"/>
  <c r="AJ126" i="13"/>
  <c r="AK126" i="13"/>
  <c r="AH126" i="13"/>
  <c r="AI180" i="13"/>
  <c r="AJ156" i="13"/>
  <c r="AK156" i="13"/>
  <c r="AK144" i="13"/>
  <c r="AJ240" i="13"/>
  <c r="AJ108" i="13"/>
  <c r="AI156" i="13"/>
  <c r="AK180" i="13"/>
  <c r="AI144" i="13"/>
  <c r="DD73" i="13"/>
  <c r="BV87" i="13"/>
  <c r="CD87" i="13"/>
  <c r="CH87" i="13"/>
  <c r="CJ87" i="13"/>
  <c r="BU87" i="13"/>
  <c r="BW87" i="13"/>
  <c r="CE87" i="13"/>
  <c r="CI87" i="13"/>
  <c r="BX87" i="13"/>
  <c r="CF87" i="13"/>
  <c r="BY87" i="13"/>
  <c r="CG87" i="13"/>
  <c r="AL154" i="13"/>
  <c r="AL155" i="13" s="1"/>
  <c r="AO58" i="13" s="1"/>
  <c r="CF58" i="13" s="1"/>
  <c r="DZ58" i="13" s="1"/>
  <c r="AM239" i="13"/>
  <c r="AF238" i="13"/>
  <c r="AO146" i="13"/>
  <c r="AL178" i="13"/>
  <c r="AL146" i="13"/>
  <c r="AM178" i="13"/>
  <c r="AD178" i="13"/>
  <c r="AO238" i="13"/>
  <c r="AC178" i="13"/>
  <c r="AN179" i="13"/>
  <c r="AD239" i="13"/>
  <c r="AO154" i="13"/>
  <c r="AL238" i="13"/>
  <c r="AE154" i="13"/>
  <c r="AE238" i="13"/>
  <c r="AN154" i="13"/>
  <c r="AF154" i="13"/>
  <c r="AQ146" i="13"/>
  <c r="AP154" i="13"/>
  <c r="AP238" i="13"/>
  <c r="AC154" i="13"/>
  <c r="AG239" i="13"/>
  <c r="AE178" i="13"/>
  <c r="AC239" i="13"/>
  <c r="AF178" i="13"/>
  <c r="AQ240" i="13"/>
  <c r="AQ154" i="13"/>
  <c r="AG178" i="13"/>
  <c r="AN238" i="13"/>
  <c r="AP146" i="13"/>
  <c r="AM146" i="13"/>
  <c r="AD154" i="13"/>
  <c r="AN146" i="13"/>
  <c r="AP178" i="13"/>
  <c r="AM154" i="13"/>
  <c r="AO178" i="13"/>
  <c r="AQ178" i="13"/>
  <c r="AG154" i="13"/>
  <c r="V153" i="13"/>
  <c r="Q177" i="13"/>
  <c r="F177" i="13"/>
  <c r="H177" i="13"/>
  <c r="M177" i="13"/>
  <c r="U153" i="13"/>
  <c r="T177" i="13"/>
  <c r="U177" i="13"/>
  <c r="S148" i="13"/>
  <c r="B153" i="13"/>
  <c r="W148" i="13"/>
  <c r="D148" i="13"/>
  <c r="H148" i="13"/>
  <c r="X177" i="13"/>
  <c r="P177" i="13"/>
  <c r="N177" i="13"/>
  <c r="I153" i="13"/>
  <c r="V148" i="13"/>
  <c r="F153" i="13"/>
  <c r="G148" i="13"/>
  <c r="V177" i="13"/>
  <c r="D177" i="13"/>
  <c r="D153" i="13"/>
  <c r="G177" i="13"/>
  <c r="M153" i="13"/>
  <c r="X153" i="13"/>
  <c r="T148" i="13"/>
  <c r="L177" i="13"/>
  <c r="K177" i="13"/>
  <c r="E148" i="13"/>
  <c r="L148" i="13"/>
  <c r="J148" i="13"/>
  <c r="CY75" i="13"/>
  <c r="P153" i="13"/>
  <c r="O153" i="13"/>
  <c r="J153" i="13"/>
  <c r="AW87" i="13"/>
  <c r="BA87" i="13"/>
  <c r="BE87" i="13"/>
  <c r="BI87" i="13"/>
  <c r="BM87" i="13"/>
  <c r="BQ87" i="13"/>
  <c r="AX87" i="13"/>
  <c r="BC87" i="13"/>
  <c r="BH87" i="13"/>
  <c r="BN87" i="13"/>
  <c r="AU87" i="13"/>
  <c r="BB87" i="13"/>
  <c r="BJ87" i="13"/>
  <c r="BP87" i="13"/>
  <c r="AY87" i="13"/>
  <c r="BG87" i="13"/>
  <c r="BF87" i="13"/>
  <c r="AT87" i="13"/>
  <c r="AV87" i="13"/>
  <c r="BK87" i="13"/>
  <c r="BL87" i="13"/>
  <c r="BO87" i="13"/>
  <c r="AZ87" i="13"/>
  <c r="BD87" i="13"/>
  <c r="G153" i="13"/>
  <c r="S153" i="13"/>
  <c r="W153" i="13"/>
  <c r="B177" i="13"/>
  <c r="W177" i="13"/>
  <c r="J177" i="13"/>
  <c r="I148" i="13"/>
  <c r="M148" i="13"/>
  <c r="X148" i="13"/>
  <c r="C148" i="13"/>
  <c r="C177" i="13"/>
  <c r="O177" i="13"/>
  <c r="N153" i="13"/>
  <c r="U148" i="13"/>
  <c r="I177" i="13"/>
  <c r="T153" i="13"/>
  <c r="R177" i="13"/>
  <c r="S177" i="13"/>
  <c r="Q153" i="13"/>
  <c r="E177" i="13"/>
  <c r="E153" i="13"/>
  <c r="L153" i="13"/>
  <c r="K148" i="13"/>
  <c r="DE75" i="13"/>
  <c r="F148" i="13"/>
  <c r="K153" i="13"/>
  <c r="A89" i="13"/>
  <c r="AS88" i="13"/>
  <c r="R153" i="13"/>
  <c r="C153" i="13"/>
  <c r="H153" i="13"/>
  <c r="B148" i="13"/>
  <c r="DK75" i="13"/>
  <c r="DM75" i="13"/>
  <c r="CU75" i="13"/>
  <c r="DL75" i="13"/>
  <c r="DO75" i="13"/>
  <c r="DF75" i="13"/>
  <c r="DH75" i="13"/>
  <c r="DG75" i="13"/>
  <c r="CT75" i="13"/>
  <c r="CX75" i="13"/>
  <c r="DA75" i="13"/>
  <c r="DD75" i="13"/>
  <c r="DN75" i="13"/>
  <c r="DJ75" i="13"/>
  <c r="EJ75" i="13"/>
  <c r="CW75" i="13"/>
  <c r="CV75" i="13"/>
  <c r="DC75" i="13"/>
  <c r="EK75" i="13"/>
  <c r="DB75" i="13"/>
  <c r="DI75" i="13"/>
  <c r="DP75" i="13"/>
  <c r="DP80" i="13"/>
  <c r="EK77" i="13"/>
  <c r="CY74" i="13"/>
  <c r="DI80" i="13"/>
  <c r="DA74" i="13"/>
  <c r="DJ73" i="13"/>
  <c r="DC74" i="13"/>
  <c r="DJ79" i="13"/>
  <c r="DF74" i="13"/>
  <c r="DG73" i="13"/>
  <c r="DA73" i="13"/>
  <c r="DH74" i="13"/>
  <c r="EJ73" i="13"/>
  <c r="EJ74" i="13"/>
  <c r="DD76" i="13"/>
  <c r="DK73" i="13"/>
  <c r="DL73" i="13"/>
  <c r="CX77" i="13"/>
  <c r="DH77" i="13"/>
  <c r="DO74" i="13"/>
  <c r="DG74" i="13"/>
  <c r="DJ74" i="13"/>
  <c r="CT74" i="13"/>
  <c r="DE74" i="13"/>
  <c r="DL74" i="13"/>
  <c r="CV74" i="13"/>
  <c r="CY73" i="13"/>
  <c r="DN73" i="13"/>
  <c r="CX73" i="13"/>
  <c r="DE73" i="13"/>
  <c r="DP73" i="13"/>
  <c r="CZ73" i="13"/>
  <c r="DM77" i="13"/>
  <c r="DK74" i="13"/>
  <c r="EK74" i="13"/>
  <c r="DB74" i="13"/>
  <c r="DM74" i="13"/>
  <c r="CW74" i="13"/>
  <c r="DD74" i="13"/>
  <c r="DC73" i="13"/>
  <c r="CU73" i="13"/>
  <c r="DF73" i="13"/>
  <c r="DM73" i="13"/>
  <c r="CW73" i="13"/>
  <c r="DH73" i="13"/>
  <c r="DG77" i="13"/>
  <c r="CW77" i="13"/>
  <c r="CU74" i="13"/>
  <c r="DN74" i="13"/>
  <c r="CX74" i="13"/>
  <c r="DI74" i="13"/>
  <c r="DP74" i="13"/>
  <c r="DO73" i="13"/>
  <c r="EK73" i="13"/>
  <c r="DB73" i="13"/>
  <c r="DI73" i="13"/>
  <c r="CT73" i="13"/>
  <c r="DC78" i="13"/>
  <c r="DD80" i="13"/>
  <c r="CT76" i="13"/>
  <c r="DI79" i="13"/>
  <c r="EK76" i="13"/>
  <c r="CT79" i="13"/>
  <c r="DP79" i="13"/>
  <c r="DB78" i="13"/>
  <c r="DK80" i="13"/>
  <c r="CZ80" i="13"/>
  <c r="DM76" i="13"/>
  <c r="DK79" i="13"/>
  <c r="CZ79" i="13"/>
  <c r="CZ78" i="13"/>
  <c r="DM80" i="13"/>
  <c r="CY76" i="13"/>
  <c r="CW76" i="13"/>
  <c r="DO79" i="13"/>
  <c r="DC79" i="13"/>
  <c r="DB79" i="13"/>
  <c r="DL79" i="13"/>
  <c r="CV79" i="13"/>
  <c r="DK76" i="13"/>
  <c r="DP76" i="13"/>
  <c r="DG79" i="13"/>
  <c r="DF79" i="13"/>
  <c r="CU79" i="13"/>
  <c r="EJ79" i="13"/>
  <c r="DA79" i="13"/>
  <c r="DH79" i="13"/>
  <c r="DI78" i="13"/>
  <c r="DG80" i="13"/>
  <c r="EK80" i="13"/>
  <c r="CW80" i="13"/>
  <c r="DO76" i="13"/>
  <c r="DF76" i="13"/>
  <c r="DC76" i="13"/>
  <c r="DB76" i="13"/>
  <c r="DE76" i="13"/>
  <c r="DL76" i="13"/>
  <c r="CV76" i="13"/>
  <c r="EK71" i="13"/>
  <c r="DN79" i="13"/>
  <c r="DE79" i="13"/>
  <c r="DN76" i="13"/>
  <c r="DJ76" i="13"/>
  <c r="DI76" i="13"/>
  <c r="CZ76" i="13"/>
  <c r="CY79" i="13"/>
  <c r="CX79" i="13"/>
  <c r="EK79" i="13"/>
  <c r="DM79" i="13"/>
  <c r="CW79" i="13"/>
  <c r="DN78" i="13"/>
  <c r="DP78" i="13"/>
  <c r="CY80" i="13"/>
  <c r="DJ80" i="13"/>
  <c r="CR72" i="13"/>
  <c r="DG76" i="13"/>
  <c r="CX76" i="13"/>
  <c r="CU76" i="13"/>
  <c r="EJ76" i="13"/>
  <c r="DA76" i="13"/>
  <c r="DH71" i="13"/>
  <c r="DF78" i="13"/>
  <c r="CT78" i="13"/>
  <c r="DE78" i="13"/>
  <c r="CV78" i="13"/>
  <c r="DG78" i="13"/>
  <c r="CX78" i="13"/>
  <c r="EK78" i="13"/>
  <c r="EJ78" i="13"/>
  <c r="DA78" i="13"/>
  <c r="DH78" i="13"/>
  <c r="CR75" i="13"/>
  <c r="DO78" i="13"/>
  <c r="CU78" i="13"/>
  <c r="DL78" i="13"/>
  <c r="CR78" i="13"/>
  <c r="CY78" i="13"/>
  <c r="DK78" i="13"/>
  <c r="DJ78" i="13"/>
  <c r="DM78" i="13"/>
  <c r="CW78" i="13"/>
  <c r="DI53" i="13"/>
  <c r="DO53" i="13"/>
  <c r="CY77" i="13"/>
  <c r="DK77" i="13"/>
  <c r="DJ77" i="13"/>
  <c r="DI77" i="13"/>
  <c r="CT77" i="13"/>
  <c r="DD77" i="13"/>
  <c r="CW71" i="13"/>
  <c r="DA53" i="13"/>
  <c r="CW53" i="13"/>
  <c r="DM53" i="13"/>
  <c r="CX53" i="13"/>
  <c r="DD53" i="13"/>
  <c r="DK53" i="13"/>
  <c r="CU53" i="13"/>
  <c r="CR74" i="13"/>
  <c r="CR80" i="13"/>
  <c r="CT53" i="13"/>
  <c r="DF53" i="13"/>
  <c r="DH53" i="13"/>
  <c r="CY53" i="13"/>
  <c r="DN77" i="13"/>
  <c r="DC77" i="13"/>
  <c r="DB77" i="13"/>
  <c r="DE77" i="13"/>
  <c r="DP77" i="13"/>
  <c r="CZ77" i="13"/>
  <c r="DA71" i="13"/>
  <c r="DJ53" i="13"/>
  <c r="EJ53" i="13"/>
  <c r="DB53" i="13"/>
  <c r="DP53" i="13"/>
  <c r="CZ53" i="13"/>
  <c r="DG53" i="13"/>
  <c r="DO77" i="13"/>
  <c r="DF77" i="13"/>
  <c r="CU77" i="13"/>
  <c r="EJ77" i="13"/>
  <c r="DA77" i="13"/>
  <c r="DL77" i="13"/>
  <c r="CT71" i="13"/>
  <c r="EK53" i="13"/>
  <c r="DE53" i="13"/>
  <c r="DN53" i="13"/>
  <c r="DL53" i="13"/>
  <c r="CV53" i="13"/>
  <c r="CR71" i="13"/>
  <c r="CX71" i="13"/>
  <c r="DM71" i="13"/>
  <c r="EJ71" i="13"/>
  <c r="CU71" i="13"/>
  <c r="CY71" i="13"/>
  <c r="DD71" i="13"/>
  <c r="CR79" i="13"/>
  <c r="CR73" i="13"/>
  <c r="CT80" i="13"/>
  <c r="DN80" i="13"/>
  <c r="DC80" i="13"/>
  <c r="DB80" i="13"/>
  <c r="DE80" i="13"/>
  <c r="DL80" i="13"/>
  <c r="CV80" i="13"/>
  <c r="CR70" i="13"/>
  <c r="DN71" i="13"/>
  <c r="DG71" i="13"/>
  <c r="DK71" i="13"/>
  <c r="DO71" i="13"/>
  <c r="DP71" i="13"/>
  <c r="CZ71" i="13"/>
  <c r="CR69" i="13"/>
  <c r="DO80" i="13"/>
  <c r="DF80" i="13"/>
  <c r="CU80" i="13"/>
  <c r="EJ80" i="13"/>
  <c r="DA80" i="13"/>
  <c r="DH80" i="13"/>
  <c r="DC71" i="13"/>
  <c r="DI71" i="13"/>
  <c r="DB71" i="13"/>
  <c r="DF71" i="13"/>
  <c r="DJ71" i="13"/>
  <c r="DL71" i="13"/>
  <c r="CV71" i="13"/>
  <c r="CR77" i="13"/>
  <c r="CR76" i="13"/>
  <c r="CV70" i="13"/>
  <c r="CZ70" i="13"/>
  <c r="DD70" i="13"/>
  <c r="DH70" i="13"/>
  <c r="DL70" i="13"/>
  <c r="DP70" i="13"/>
  <c r="CW70" i="13"/>
  <c r="DB70" i="13"/>
  <c r="DG70" i="13"/>
  <c r="DM70" i="13"/>
  <c r="EK70" i="13"/>
  <c r="CX70" i="13"/>
  <c r="DC70" i="13"/>
  <c r="DI70" i="13"/>
  <c r="DN70" i="13"/>
  <c r="CT70" i="13"/>
  <c r="CY70" i="13"/>
  <c r="DE70" i="13"/>
  <c r="DJ70" i="13"/>
  <c r="DO70" i="13"/>
  <c r="DK70" i="13"/>
  <c r="CU70" i="13"/>
  <c r="EJ70" i="13"/>
  <c r="DA70" i="13"/>
  <c r="DF70" i="13"/>
  <c r="CU55" i="13"/>
  <c r="CY55" i="13"/>
  <c r="DC55" i="13"/>
  <c r="DG55" i="13"/>
  <c r="DK55" i="13"/>
  <c r="DO55" i="13"/>
  <c r="CV55" i="13"/>
  <c r="CZ55" i="13"/>
  <c r="DD55" i="13"/>
  <c r="DH55" i="13"/>
  <c r="DL55" i="13"/>
  <c r="DP55" i="13"/>
  <c r="CX55" i="13"/>
  <c r="DF55" i="13"/>
  <c r="DN55" i="13"/>
  <c r="CW55" i="13"/>
  <c r="DI55" i="13"/>
  <c r="EK55" i="13"/>
  <c r="DA55" i="13"/>
  <c r="DJ55" i="13"/>
  <c r="DB55" i="13"/>
  <c r="DM55" i="13"/>
  <c r="DE55" i="13"/>
  <c r="EJ55" i="13"/>
  <c r="CT55" i="13"/>
  <c r="CV69" i="13"/>
  <c r="CZ69" i="13"/>
  <c r="DD69" i="13"/>
  <c r="DH69" i="13"/>
  <c r="DL69" i="13"/>
  <c r="DP69" i="13"/>
  <c r="CY69" i="13"/>
  <c r="DE69" i="13"/>
  <c r="DJ69" i="13"/>
  <c r="DO69" i="13"/>
  <c r="CT69" i="13"/>
  <c r="CU69" i="13"/>
  <c r="DA69" i="13"/>
  <c r="DF69" i="13"/>
  <c r="DK69" i="13"/>
  <c r="EJ69" i="13"/>
  <c r="CW69" i="13"/>
  <c r="DB69" i="13"/>
  <c r="DG69" i="13"/>
  <c r="DM69" i="13"/>
  <c r="EK69" i="13"/>
  <c r="DN69" i="13"/>
  <c r="CX69" i="13"/>
  <c r="DC69" i="13"/>
  <c r="DI69" i="13"/>
  <c r="CU51" i="13"/>
  <c r="CY51" i="13"/>
  <c r="DC51" i="13"/>
  <c r="DG51" i="13"/>
  <c r="DK51" i="13"/>
  <c r="DO51" i="13"/>
  <c r="CV51" i="13"/>
  <c r="CZ51" i="13"/>
  <c r="DD51" i="13"/>
  <c r="DH51" i="13"/>
  <c r="DL51" i="13"/>
  <c r="DP51" i="13"/>
  <c r="CX51" i="13"/>
  <c r="DF51" i="13"/>
  <c r="DN51" i="13"/>
  <c r="CW51" i="13"/>
  <c r="DI51" i="13"/>
  <c r="EK51" i="13"/>
  <c r="DA51" i="13"/>
  <c r="DJ51" i="13"/>
  <c r="DB51" i="13"/>
  <c r="DM51" i="13"/>
  <c r="DE51" i="13"/>
  <c r="EJ51" i="13"/>
  <c r="CU60" i="13"/>
  <c r="CY60" i="13"/>
  <c r="DC60" i="13"/>
  <c r="DG60" i="13"/>
  <c r="DK60" i="13"/>
  <c r="DO60" i="13"/>
  <c r="CV60" i="13"/>
  <c r="CZ60" i="13"/>
  <c r="DD60" i="13"/>
  <c r="DH60" i="13"/>
  <c r="DL60" i="13"/>
  <c r="DP60" i="13"/>
  <c r="CX60" i="13"/>
  <c r="DF60" i="13"/>
  <c r="DN60" i="13"/>
  <c r="DE60" i="13"/>
  <c r="CW60" i="13"/>
  <c r="DI60" i="13"/>
  <c r="EK60" i="13"/>
  <c r="DA60" i="13"/>
  <c r="DJ60" i="13"/>
  <c r="DM60" i="13"/>
  <c r="CT60" i="13"/>
  <c r="DB60" i="13"/>
  <c r="CU54" i="13"/>
  <c r="CY54" i="13"/>
  <c r="DC54" i="13"/>
  <c r="DG54" i="13"/>
  <c r="DK54" i="13"/>
  <c r="DO54" i="13"/>
  <c r="CV54" i="13"/>
  <c r="CZ54" i="13"/>
  <c r="DD54" i="13"/>
  <c r="DH54" i="13"/>
  <c r="DL54" i="13"/>
  <c r="DP54" i="13"/>
  <c r="CX54" i="13"/>
  <c r="DF54" i="13"/>
  <c r="DN54" i="13"/>
  <c r="DA54" i="13"/>
  <c r="DJ54" i="13"/>
  <c r="DB54" i="13"/>
  <c r="DM54" i="13"/>
  <c r="CT54" i="13"/>
  <c r="DE54" i="13"/>
  <c r="EJ54" i="13"/>
  <c r="CW54" i="13"/>
  <c r="DI54" i="13"/>
  <c r="EK54" i="13"/>
  <c r="CU52" i="13"/>
  <c r="CY52" i="13"/>
  <c r="DC52" i="13"/>
  <c r="DG52" i="13"/>
  <c r="DK52" i="13"/>
  <c r="DO52" i="13"/>
  <c r="CV52" i="13"/>
  <c r="CZ52" i="13"/>
  <c r="DD52" i="13"/>
  <c r="DH52" i="13"/>
  <c r="DL52" i="13"/>
  <c r="DP52" i="13"/>
  <c r="CX52" i="13"/>
  <c r="DF52" i="13"/>
  <c r="DN52" i="13"/>
  <c r="DE52" i="13"/>
  <c r="EJ52" i="13"/>
  <c r="CW52" i="13"/>
  <c r="DI52" i="13"/>
  <c r="EK52" i="13"/>
  <c r="DA52" i="13"/>
  <c r="DJ52" i="13"/>
  <c r="DB52" i="13"/>
  <c r="CT52" i="13"/>
  <c r="DM52" i="13"/>
  <c r="CV72" i="13"/>
  <c r="CZ72" i="13"/>
  <c r="DD72" i="13"/>
  <c r="DH72" i="13"/>
  <c r="DL72" i="13"/>
  <c r="DP72" i="13"/>
  <c r="CW72" i="13"/>
  <c r="DA72" i="13"/>
  <c r="DE72" i="13"/>
  <c r="DI72" i="13"/>
  <c r="DM72" i="13"/>
  <c r="EJ72" i="13"/>
  <c r="CX72" i="13"/>
  <c r="DB72" i="13"/>
  <c r="DF72" i="13"/>
  <c r="DJ72" i="13"/>
  <c r="DN72" i="13"/>
  <c r="EK72" i="13"/>
  <c r="DC72" i="13"/>
  <c r="DG72" i="13"/>
  <c r="CU72" i="13"/>
  <c r="DK72" i="13"/>
  <c r="CY72" i="13"/>
  <c r="DO72" i="13"/>
  <c r="CT72" i="13"/>
  <c r="T3" i="12"/>
  <c r="S4" i="12"/>
  <c r="P29" i="10"/>
  <c r="O29" i="10"/>
  <c r="P28" i="10"/>
  <c r="O28" i="10"/>
  <c r="P27" i="10"/>
  <c r="O27" i="10"/>
  <c r="P26" i="10"/>
  <c r="O26" i="10"/>
  <c r="P25" i="10"/>
  <c r="O25" i="10"/>
  <c r="P24" i="10"/>
  <c r="O24" i="10"/>
  <c r="P23" i="10"/>
  <c r="AD23" i="10" s="1"/>
  <c r="O23" i="10"/>
  <c r="AC23" i="10" s="1"/>
  <c r="P22" i="10"/>
  <c r="O22" i="10"/>
  <c r="P21" i="10"/>
  <c r="O21" i="10"/>
  <c r="P20" i="10"/>
  <c r="AD20" i="10" s="1"/>
  <c r="O20" i="10"/>
  <c r="AC20" i="10" s="1"/>
  <c r="P19" i="10"/>
  <c r="O19" i="10"/>
  <c r="P18" i="10"/>
  <c r="O18" i="10"/>
  <c r="P17" i="10"/>
  <c r="O17" i="10"/>
  <c r="P16" i="10"/>
  <c r="O16" i="10"/>
  <c r="P15" i="10"/>
  <c r="O15" i="10"/>
  <c r="P14" i="10"/>
  <c r="O14" i="10"/>
  <c r="P13" i="10"/>
  <c r="O13" i="10"/>
  <c r="P12" i="10"/>
  <c r="O12" i="10"/>
  <c r="N29" i="10"/>
  <c r="AQ29" i="10" s="1"/>
  <c r="M29" i="10"/>
  <c r="AP29" i="10" s="1"/>
  <c r="L29" i="10"/>
  <c r="K29" i="10"/>
  <c r="J29" i="10"/>
  <c r="I29" i="10"/>
  <c r="H29" i="10"/>
  <c r="F29" i="10"/>
  <c r="E29" i="10"/>
  <c r="D29" i="10"/>
  <c r="R29" i="10" s="1"/>
  <c r="AG29" i="10" s="1"/>
  <c r="C29" i="10"/>
  <c r="Q29" i="10" s="1"/>
  <c r="N28" i="10"/>
  <c r="M28" i="10"/>
  <c r="AP28" i="10" s="1"/>
  <c r="L28" i="10"/>
  <c r="K28" i="10"/>
  <c r="J28" i="10"/>
  <c r="I28" i="10"/>
  <c r="H28" i="10"/>
  <c r="F28" i="10"/>
  <c r="E28" i="10"/>
  <c r="D28" i="10"/>
  <c r="R28" i="10" s="1"/>
  <c r="AG28" i="10" s="1"/>
  <c r="C28" i="10"/>
  <c r="Q28" i="10" s="1"/>
  <c r="N27" i="10"/>
  <c r="M27" i="10"/>
  <c r="AP27" i="10" s="1"/>
  <c r="L27" i="10"/>
  <c r="K27" i="10"/>
  <c r="J27" i="10"/>
  <c r="I27" i="10"/>
  <c r="H27" i="10"/>
  <c r="G27" i="10"/>
  <c r="F27" i="10"/>
  <c r="E27" i="10"/>
  <c r="D27" i="10"/>
  <c r="R27" i="10" s="1"/>
  <c r="AG27" i="10" s="1"/>
  <c r="C27" i="10"/>
  <c r="Q27" i="10" s="1"/>
  <c r="N26" i="10"/>
  <c r="AQ26" i="10" s="1"/>
  <c r="M26" i="10"/>
  <c r="AP26" i="10" s="1"/>
  <c r="L26" i="10"/>
  <c r="K26" i="10"/>
  <c r="J26" i="10"/>
  <c r="I26" i="10"/>
  <c r="H26" i="10"/>
  <c r="F26" i="10"/>
  <c r="E26" i="10"/>
  <c r="D26" i="10"/>
  <c r="R26" i="10" s="1"/>
  <c r="AG26" i="10" s="1"/>
  <c r="C26" i="10"/>
  <c r="Q26" i="10" s="1"/>
  <c r="N25" i="10"/>
  <c r="AQ25" i="10" s="1"/>
  <c r="M25" i="10"/>
  <c r="AP25" i="10" s="1"/>
  <c r="L25" i="10"/>
  <c r="K25" i="10"/>
  <c r="J25" i="10"/>
  <c r="I25" i="10"/>
  <c r="H25" i="10"/>
  <c r="F25" i="10"/>
  <c r="E25" i="10"/>
  <c r="D25" i="10"/>
  <c r="R25" i="10" s="1"/>
  <c r="AG25" i="10" s="1"/>
  <c r="C25" i="10"/>
  <c r="Q25" i="10" s="1"/>
  <c r="N24" i="10"/>
  <c r="AQ24" i="10" s="1"/>
  <c r="M24" i="10"/>
  <c r="AP24" i="10" s="1"/>
  <c r="L24" i="10"/>
  <c r="K24" i="10"/>
  <c r="J24" i="10"/>
  <c r="I24" i="10"/>
  <c r="H24" i="10"/>
  <c r="G24" i="10"/>
  <c r="F24" i="10"/>
  <c r="E24" i="10"/>
  <c r="D24" i="10"/>
  <c r="R24" i="10" s="1"/>
  <c r="AG24" i="10" s="1"/>
  <c r="C24" i="10"/>
  <c r="Q24" i="10" s="1"/>
  <c r="N23" i="10"/>
  <c r="M23" i="10"/>
  <c r="L23" i="10"/>
  <c r="Z23" i="10" s="1"/>
  <c r="K23" i="10"/>
  <c r="Y23" i="10" s="1"/>
  <c r="J23" i="10"/>
  <c r="X23" i="10" s="1"/>
  <c r="I23" i="10"/>
  <c r="W23" i="10" s="1"/>
  <c r="H23" i="10"/>
  <c r="V23" i="10" s="1"/>
  <c r="F23" i="10"/>
  <c r="T23" i="10" s="1"/>
  <c r="E23" i="10"/>
  <c r="S23" i="10" s="1"/>
  <c r="D23" i="10"/>
  <c r="R23" i="10" s="1"/>
  <c r="AG23" i="10" s="1"/>
  <c r="C23" i="10"/>
  <c r="Q23" i="10" s="1"/>
  <c r="N22" i="10"/>
  <c r="AQ22" i="10" s="1"/>
  <c r="M22" i="10"/>
  <c r="AP22" i="10" s="1"/>
  <c r="L22" i="10"/>
  <c r="K22" i="10"/>
  <c r="J22" i="10"/>
  <c r="I22" i="10"/>
  <c r="H22" i="10"/>
  <c r="F22" i="10"/>
  <c r="E22" i="10"/>
  <c r="D22" i="10"/>
  <c r="R22" i="10" s="1"/>
  <c r="AG22" i="10" s="1"/>
  <c r="C22" i="10"/>
  <c r="Q22" i="10" s="1"/>
  <c r="N21" i="10"/>
  <c r="AQ21" i="10" s="1"/>
  <c r="M21" i="10"/>
  <c r="AP21" i="10" s="1"/>
  <c r="L21" i="10"/>
  <c r="K21" i="10"/>
  <c r="J21" i="10"/>
  <c r="I21" i="10"/>
  <c r="H21" i="10"/>
  <c r="G21" i="10"/>
  <c r="F21" i="10"/>
  <c r="E21" i="10"/>
  <c r="D21" i="10"/>
  <c r="R21" i="10" s="1"/>
  <c r="AG21" i="10" s="1"/>
  <c r="C21" i="10"/>
  <c r="Q21" i="10" s="1"/>
  <c r="N20" i="10"/>
  <c r="AB20" i="10" s="1"/>
  <c r="AQ20" i="10" s="1"/>
  <c r="M20" i="10"/>
  <c r="L20" i="10"/>
  <c r="Z20" i="10" s="1"/>
  <c r="K20" i="10"/>
  <c r="Y20" i="10" s="1"/>
  <c r="J20" i="10"/>
  <c r="X20" i="10" s="1"/>
  <c r="I20" i="10"/>
  <c r="W20" i="10" s="1"/>
  <c r="H20" i="10"/>
  <c r="V20" i="10" s="1"/>
  <c r="F20" i="10"/>
  <c r="T20" i="10" s="1"/>
  <c r="E20" i="10"/>
  <c r="S20" i="10" s="1"/>
  <c r="D20" i="10"/>
  <c r="R20" i="10" s="1"/>
  <c r="AG20" i="10" s="1"/>
  <c r="C20" i="10"/>
  <c r="Q20" i="10" s="1"/>
  <c r="N19" i="10"/>
  <c r="M19" i="10"/>
  <c r="AP19" i="10" s="1"/>
  <c r="L19" i="10"/>
  <c r="K19" i="10"/>
  <c r="J19" i="10"/>
  <c r="I19" i="10"/>
  <c r="H19" i="10"/>
  <c r="F19" i="10"/>
  <c r="E19" i="10"/>
  <c r="D19" i="10"/>
  <c r="R19" i="10" s="1"/>
  <c r="AG19" i="10" s="1"/>
  <c r="C19" i="10"/>
  <c r="Q19" i="10" s="1"/>
  <c r="N18" i="10"/>
  <c r="M18" i="10"/>
  <c r="AP18" i="10" s="1"/>
  <c r="L18" i="10"/>
  <c r="K18" i="10"/>
  <c r="J18" i="10"/>
  <c r="I18" i="10"/>
  <c r="H18" i="10"/>
  <c r="G18" i="10"/>
  <c r="F18" i="10"/>
  <c r="E18" i="10"/>
  <c r="D18" i="10"/>
  <c r="R18" i="10" s="1"/>
  <c r="AG18" i="10" s="1"/>
  <c r="C18" i="10"/>
  <c r="Q18" i="10" s="1"/>
  <c r="N17" i="10"/>
  <c r="M17" i="10"/>
  <c r="L17" i="10"/>
  <c r="K17" i="10"/>
  <c r="J17" i="10"/>
  <c r="I17" i="10"/>
  <c r="H17" i="10"/>
  <c r="F17" i="10"/>
  <c r="E17" i="10"/>
  <c r="D17" i="10"/>
  <c r="C17" i="10"/>
  <c r="N16" i="10"/>
  <c r="M16" i="10"/>
  <c r="L16" i="10"/>
  <c r="K16" i="10"/>
  <c r="J16" i="10"/>
  <c r="I16" i="10"/>
  <c r="H16" i="10"/>
  <c r="F16" i="10"/>
  <c r="E16" i="10"/>
  <c r="D16" i="10"/>
  <c r="C16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N14" i="10"/>
  <c r="M14" i="10"/>
  <c r="L14" i="10"/>
  <c r="K14" i="10"/>
  <c r="J14" i="10"/>
  <c r="I14" i="10"/>
  <c r="H14" i="10"/>
  <c r="F14" i="10"/>
  <c r="E14" i="10"/>
  <c r="D14" i="10"/>
  <c r="C14" i="10"/>
  <c r="N13" i="10"/>
  <c r="M13" i="10"/>
  <c r="L13" i="10"/>
  <c r="K13" i="10"/>
  <c r="J13" i="10"/>
  <c r="I13" i="10"/>
  <c r="H13" i="10"/>
  <c r="F13" i="10"/>
  <c r="E13" i="10"/>
  <c r="D13" i="10"/>
  <c r="C13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12" i="10"/>
  <c r="AQ28" i="10"/>
  <c r="AQ27" i="10"/>
  <c r="AQ19" i="10"/>
  <c r="AQ18" i="10"/>
  <c r="F62" i="3"/>
  <c r="G23" i="10"/>
  <c r="U23" i="10" s="1"/>
  <c r="G22" i="10"/>
  <c r="F53" i="3"/>
  <c r="G17" i="10"/>
  <c r="G16" i="10"/>
  <c r="G14" i="10"/>
  <c r="G13" i="10"/>
  <c r="G29" i="10" l="1"/>
  <c r="F61" i="3"/>
  <c r="G28" i="10" s="1"/>
  <c r="G20" i="10"/>
  <c r="U20" i="10" s="1"/>
  <c r="F52" i="3"/>
  <c r="G19" i="10" s="1"/>
  <c r="BT88" i="13"/>
  <c r="BR88" i="13"/>
  <c r="BS88" i="13"/>
  <c r="AA188" i="13"/>
  <c r="Z137" i="13"/>
  <c r="AB188" i="13"/>
  <c r="AA164" i="13"/>
  <c r="Z188" i="13"/>
  <c r="AA137" i="13"/>
  <c r="AB164" i="13"/>
  <c r="AB137" i="13"/>
  <c r="Z164" i="13"/>
  <c r="G26" i="10"/>
  <c r="F58" i="3"/>
  <c r="G25" i="10" s="1"/>
  <c r="AA20" i="10"/>
  <c r="AP20" i="10" s="1"/>
  <c r="AA23" i="10"/>
  <c r="AP23" i="10" s="1"/>
  <c r="AB23" i="10"/>
  <c r="AQ23" i="10" s="1"/>
  <c r="CB88" i="13"/>
  <c r="CC88" i="13"/>
  <c r="BZ88" i="13"/>
  <c r="CA88" i="13"/>
  <c r="AK181" i="13"/>
  <c r="AJ107" i="13"/>
  <c r="AK143" i="13"/>
  <c r="AJ157" i="13"/>
  <c r="AH125" i="13"/>
  <c r="AK55" i="13" s="1"/>
  <c r="AJ125" i="13"/>
  <c r="AM55" i="13" s="1"/>
  <c r="AH157" i="13"/>
  <c r="AH242" i="13"/>
  <c r="AJ181" i="13"/>
  <c r="AI241" i="13"/>
  <c r="AH181" i="13"/>
  <c r="AI143" i="13"/>
  <c r="AI157" i="13"/>
  <c r="AJ241" i="13"/>
  <c r="AK157" i="13"/>
  <c r="AI181" i="13"/>
  <c r="AK125" i="13"/>
  <c r="AN55" i="13" s="1"/>
  <c r="AI107" i="13"/>
  <c r="AH143" i="13"/>
  <c r="AH107" i="13"/>
  <c r="AJ143" i="13"/>
  <c r="AK107" i="13"/>
  <c r="AI125" i="13"/>
  <c r="AL55" i="13" s="1"/>
  <c r="BV88" i="13"/>
  <c r="CD88" i="13"/>
  <c r="CH88" i="13"/>
  <c r="CF88" i="13"/>
  <c r="BU88" i="13"/>
  <c r="CG88" i="13"/>
  <c r="BW88" i="13"/>
  <c r="CE88" i="13"/>
  <c r="CI88" i="13"/>
  <c r="BX88" i="13"/>
  <c r="CJ88" i="13"/>
  <c r="BY88" i="13"/>
  <c r="AN145" i="13"/>
  <c r="AQ57" i="13" s="1"/>
  <c r="CH57" i="13" s="1"/>
  <c r="EB57" i="13" s="1"/>
  <c r="AM145" i="13"/>
  <c r="AP57" i="13" s="1"/>
  <c r="CG57" i="13" s="1"/>
  <c r="EA57" i="13" s="1"/>
  <c r="AQ155" i="13"/>
  <c r="AT58" i="13" s="1"/>
  <c r="CK58" i="13" s="1"/>
  <c r="EE58" i="13" s="1"/>
  <c r="AC240" i="13"/>
  <c r="AP239" i="13"/>
  <c r="AQ145" i="13"/>
  <c r="AT57" i="13" s="1"/>
  <c r="CK57" i="13" s="1"/>
  <c r="EE57" i="13" s="1"/>
  <c r="AO155" i="13"/>
  <c r="AR58" i="13" s="1"/>
  <c r="CI58" i="13" s="1"/>
  <c r="EC58" i="13" s="1"/>
  <c r="AO239" i="13"/>
  <c r="AO145" i="13"/>
  <c r="AR57" i="13" s="1"/>
  <c r="CI57" i="13" s="1"/>
  <c r="EC57" i="13" s="1"/>
  <c r="AF239" i="13"/>
  <c r="AQ179" i="13"/>
  <c r="AN239" i="13"/>
  <c r="AG240" i="13"/>
  <c r="AN155" i="13"/>
  <c r="AQ58" i="13" s="1"/>
  <c r="CH58" i="13" s="1"/>
  <c r="EB58" i="13" s="1"/>
  <c r="AE155" i="13"/>
  <c r="AH58" i="13" s="1"/>
  <c r="BY58" i="13" s="1"/>
  <c r="AN180" i="13"/>
  <c r="AD179" i="13"/>
  <c r="AL145" i="13"/>
  <c r="AO57" i="13" s="1"/>
  <c r="CF57" i="13" s="1"/>
  <c r="DZ57" i="13" s="1"/>
  <c r="AM240" i="13"/>
  <c r="AG155" i="13"/>
  <c r="AJ58" i="13" s="1"/>
  <c r="CA58" i="13" s="1"/>
  <c r="AO179" i="13"/>
  <c r="AM155" i="13"/>
  <c r="AP58" i="13" s="1"/>
  <c r="CG58" i="13" s="1"/>
  <c r="EA58" i="13" s="1"/>
  <c r="AP179" i="13"/>
  <c r="AD155" i="13"/>
  <c r="AG58" i="13" s="1"/>
  <c r="BX58" i="13" s="1"/>
  <c r="AP145" i="13"/>
  <c r="AS57" i="13" s="1"/>
  <c r="CJ57" i="13" s="1"/>
  <c r="ED57" i="13" s="1"/>
  <c r="AG179" i="13"/>
  <c r="AQ241" i="13"/>
  <c r="AF179" i="13"/>
  <c r="AE179" i="13"/>
  <c r="AC155" i="13"/>
  <c r="AF58" i="13" s="1"/>
  <c r="BW58" i="13" s="1"/>
  <c r="AP155" i="13"/>
  <c r="AS58" i="13" s="1"/>
  <c r="CJ58" i="13" s="1"/>
  <c r="ED58" i="13" s="1"/>
  <c r="AF155" i="13"/>
  <c r="AI58" i="13" s="1"/>
  <c r="BZ58" i="13" s="1"/>
  <c r="AE239" i="13"/>
  <c r="AL239" i="13"/>
  <c r="AD240" i="13"/>
  <c r="AC179" i="13"/>
  <c r="AL156" i="13"/>
  <c r="AM179" i="13"/>
  <c r="AL179" i="13"/>
  <c r="AX88" i="13"/>
  <c r="BB88" i="13"/>
  <c r="BF88" i="13"/>
  <c r="BJ88" i="13"/>
  <c r="BN88" i="13"/>
  <c r="AV88" i="13"/>
  <c r="BA88" i="13"/>
  <c r="BG88" i="13"/>
  <c r="BL88" i="13"/>
  <c r="BQ88" i="13"/>
  <c r="AZ88" i="13"/>
  <c r="BH88" i="13"/>
  <c r="BO88" i="13"/>
  <c r="AU88" i="13"/>
  <c r="BD88" i="13"/>
  <c r="BM88" i="13"/>
  <c r="AW88" i="13"/>
  <c r="BI88" i="13"/>
  <c r="AY88" i="13"/>
  <c r="BK88" i="13"/>
  <c r="BP88" i="13"/>
  <c r="BC88" i="13"/>
  <c r="BE88" i="13"/>
  <c r="AT88" i="13"/>
  <c r="K147" i="13"/>
  <c r="Q154" i="13"/>
  <c r="R178" i="13"/>
  <c r="C178" i="13"/>
  <c r="I147" i="13"/>
  <c r="B178" i="13"/>
  <c r="P154" i="13"/>
  <c r="B147" i="13"/>
  <c r="C154" i="13"/>
  <c r="A90" i="13"/>
  <c r="AS89" i="13"/>
  <c r="F147" i="13"/>
  <c r="L147" i="13"/>
  <c r="L178" i="13"/>
  <c r="M154" i="13"/>
  <c r="D154" i="13"/>
  <c r="V178" i="13"/>
  <c r="F154" i="13"/>
  <c r="N178" i="13"/>
  <c r="X178" i="13"/>
  <c r="D147" i="13"/>
  <c r="B154" i="13"/>
  <c r="U178" i="13"/>
  <c r="U154" i="13"/>
  <c r="H178" i="13"/>
  <c r="Q178" i="13"/>
  <c r="L154" i="13"/>
  <c r="E178" i="13"/>
  <c r="S178" i="13"/>
  <c r="I178" i="13"/>
  <c r="U147" i="13"/>
  <c r="O178" i="13"/>
  <c r="C147" i="13"/>
  <c r="M147" i="13"/>
  <c r="J178" i="13"/>
  <c r="W178" i="13"/>
  <c r="W154" i="13"/>
  <c r="G154" i="13"/>
  <c r="O154" i="13"/>
  <c r="E154" i="13"/>
  <c r="T154" i="13"/>
  <c r="N154" i="13"/>
  <c r="X147" i="13"/>
  <c r="S154" i="13"/>
  <c r="J154" i="13"/>
  <c r="H154" i="13"/>
  <c r="R154" i="13"/>
  <c r="K154" i="13"/>
  <c r="J147" i="13"/>
  <c r="E147" i="13"/>
  <c r="K178" i="13"/>
  <c r="T147" i="13"/>
  <c r="X154" i="13"/>
  <c r="G178" i="13"/>
  <c r="D178" i="13"/>
  <c r="G147" i="13"/>
  <c r="V147" i="13"/>
  <c r="I154" i="13"/>
  <c r="P178" i="13"/>
  <c r="H147" i="13"/>
  <c r="W147" i="13"/>
  <c r="S147" i="13"/>
  <c r="T178" i="13"/>
  <c r="M178" i="13"/>
  <c r="F178" i="13"/>
  <c r="V154" i="13"/>
  <c r="DO46" i="13"/>
  <c r="U3" i="12"/>
  <c r="T4" i="12"/>
  <c r="AF26" i="10"/>
  <c r="AE26" i="10"/>
  <c r="AH26" i="10" s="1"/>
  <c r="AF25" i="10"/>
  <c r="AE25" i="10"/>
  <c r="AH25" i="10" s="1"/>
  <c r="AE27" i="10"/>
  <c r="AR27" i="10" s="1"/>
  <c r="AF27" i="10"/>
  <c r="AF29" i="10"/>
  <c r="AE29" i="10"/>
  <c r="AN29" i="10" s="1"/>
  <c r="AF24" i="10"/>
  <c r="AE24" i="10"/>
  <c r="AF28" i="10"/>
  <c r="AE28" i="10"/>
  <c r="AJ28" i="10" s="1"/>
  <c r="AF23" i="10"/>
  <c r="AE18" i="10"/>
  <c r="AK18" i="10" s="1"/>
  <c r="AF18" i="10"/>
  <c r="AE22" i="10"/>
  <c r="AN22" i="10" s="1"/>
  <c r="AF22" i="10"/>
  <c r="AF21" i="10"/>
  <c r="AE21" i="10"/>
  <c r="AM21" i="10" s="1"/>
  <c r="AF20" i="10"/>
  <c r="AE19" i="10"/>
  <c r="AJ19" i="10" s="1"/>
  <c r="AF19" i="10"/>
  <c r="P7" i="10"/>
  <c r="O7" i="10"/>
  <c r="N7" i="10"/>
  <c r="AQ7" i="10" s="1"/>
  <c r="M7" i="10"/>
  <c r="AP7" i="10" s="1"/>
  <c r="L7" i="10"/>
  <c r="K7" i="10"/>
  <c r="J7" i="10"/>
  <c r="F7" i="10"/>
  <c r="E7" i="10"/>
  <c r="D7" i="10"/>
  <c r="R7" i="10" s="1"/>
  <c r="AG7" i="10" s="1"/>
  <c r="C7" i="10"/>
  <c r="Q7" i="10" s="1"/>
  <c r="AF7" i="10" s="1"/>
  <c r="B7" i="10"/>
  <c r="Z165" i="13" l="1"/>
  <c r="Z189" i="13"/>
  <c r="AB189" i="13"/>
  <c r="BR89" i="13"/>
  <c r="BS89" i="13"/>
  <c r="BT89" i="13"/>
  <c r="AB136" i="13"/>
  <c r="AA136" i="13"/>
  <c r="AA165" i="13"/>
  <c r="Z136" i="13"/>
  <c r="AB165" i="13"/>
  <c r="AA189" i="13"/>
  <c r="AS27" i="10"/>
  <c r="DS58" i="13"/>
  <c r="DR58" i="13"/>
  <c r="DT58" i="13"/>
  <c r="DQ58" i="13"/>
  <c r="DU58" i="13"/>
  <c r="CB89" i="13"/>
  <c r="CC89" i="13"/>
  <c r="BZ89" i="13"/>
  <c r="CA89" i="13"/>
  <c r="AK106" i="13"/>
  <c r="AH106" i="13"/>
  <c r="AI106" i="13"/>
  <c r="AI182" i="13"/>
  <c r="AJ242" i="13"/>
  <c r="AI142" i="13"/>
  <c r="AI242" i="13"/>
  <c r="AH243" i="13"/>
  <c r="AJ124" i="13"/>
  <c r="AJ158" i="13"/>
  <c r="AJ106" i="13"/>
  <c r="AI124" i="13"/>
  <c r="AJ142" i="13"/>
  <c r="AH142" i="13"/>
  <c r="AK124" i="13"/>
  <c r="AK158" i="13"/>
  <c r="AI158" i="13"/>
  <c r="AH182" i="13"/>
  <c r="AJ182" i="13"/>
  <c r="AH158" i="13"/>
  <c r="AH124" i="13"/>
  <c r="AK142" i="13"/>
  <c r="AK182" i="13"/>
  <c r="BV89" i="13"/>
  <c r="CD89" i="13"/>
  <c r="CH89" i="13"/>
  <c r="BX89" i="13"/>
  <c r="CJ89" i="13"/>
  <c r="BY89" i="13"/>
  <c r="BW89" i="13"/>
  <c r="CE89" i="13"/>
  <c r="CI89" i="13"/>
  <c r="CF89" i="13"/>
  <c r="BU89" i="13"/>
  <c r="CG89" i="13"/>
  <c r="AM180" i="13"/>
  <c r="AF156" i="13"/>
  <c r="AF180" i="13"/>
  <c r="AD156" i="13"/>
  <c r="AD180" i="13"/>
  <c r="AQ180" i="13"/>
  <c r="AO156" i="13"/>
  <c r="AC241" i="13"/>
  <c r="AM144" i="13"/>
  <c r="AF240" i="13"/>
  <c r="AL180" i="13"/>
  <c r="AL157" i="13"/>
  <c r="AD241" i="13"/>
  <c r="AE240" i="13"/>
  <c r="AP156" i="13"/>
  <c r="AC156" i="13"/>
  <c r="AE180" i="13"/>
  <c r="AQ242" i="13"/>
  <c r="AP144" i="13"/>
  <c r="AP180" i="13"/>
  <c r="AO180" i="13"/>
  <c r="AG156" i="13"/>
  <c r="AL144" i="13"/>
  <c r="AN181" i="13"/>
  <c r="AN156" i="13"/>
  <c r="AG241" i="13"/>
  <c r="AN240" i="13"/>
  <c r="AO240" i="13"/>
  <c r="AQ144" i="13"/>
  <c r="AQ156" i="13"/>
  <c r="AN144" i="13"/>
  <c r="AC180" i="13"/>
  <c r="AL240" i="13"/>
  <c r="AG180" i="13"/>
  <c r="AM156" i="13"/>
  <c r="AM241" i="13"/>
  <c r="AE156" i="13"/>
  <c r="AO144" i="13"/>
  <c r="AP240" i="13"/>
  <c r="S155" i="13"/>
  <c r="W155" i="13"/>
  <c r="Q179" i="13"/>
  <c r="B155" i="13"/>
  <c r="N179" i="13"/>
  <c r="D155" i="13"/>
  <c r="F146" i="13"/>
  <c r="M179" i="13"/>
  <c r="H146" i="13"/>
  <c r="V146" i="13"/>
  <c r="X155" i="13"/>
  <c r="J146" i="13"/>
  <c r="AU89" i="13"/>
  <c r="AY89" i="13"/>
  <c r="BC89" i="13"/>
  <c r="BG89" i="13"/>
  <c r="BK89" i="13"/>
  <c r="BO89" i="13"/>
  <c r="AZ89" i="13"/>
  <c r="BE89" i="13"/>
  <c r="BJ89" i="13"/>
  <c r="BP89" i="13"/>
  <c r="AX89" i="13"/>
  <c r="BF89" i="13"/>
  <c r="BM89" i="13"/>
  <c r="BA89" i="13"/>
  <c r="BI89" i="13"/>
  <c r="AW89" i="13"/>
  <c r="BL89" i="13"/>
  <c r="BB89" i="13"/>
  <c r="BN89" i="13"/>
  <c r="BQ89" i="13"/>
  <c r="AV89" i="13"/>
  <c r="BD89" i="13"/>
  <c r="BH89" i="13"/>
  <c r="AT89" i="13"/>
  <c r="P155" i="13"/>
  <c r="J155" i="13"/>
  <c r="N155" i="13"/>
  <c r="E155" i="13"/>
  <c r="G155" i="13"/>
  <c r="W179" i="13"/>
  <c r="M146" i="13"/>
  <c r="O179" i="13"/>
  <c r="I179" i="13"/>
  <c r="S179" i="13"/>
  <c r="L155" i="13"/>
  <c r="H179" i="13"/>
  <c r="U179" i="13"/>
  <c r="D146" i="13"/>
  <c r="X179" i="13"/>
  <c r="V179" i="13"/>
  <c r="M155" i="13"/>
  <c r="L179" i="13"/>
  <c r="L146" i="13"/>
  <c r="A91" i="13"/>
  <c r="AS90" i="13"/>
  <c r="B146" i="13"/>
  <c r="X146" i="13"/>
  <c r="T155" i="13"/>
  <c r="O155" i="13"/>
  <c r="J179" i="13"/>
  <c r="C146" i="13"/>
  <c r="U146" i="13"/>
  <c r="E179" i="13"/>
  <c r="U155" i="13"/>
  <c r="F155" i="13"/>
  <c r="C155" i="13"/>
  <c r="V155" i="13"/>
  <c r="S146" i="13"/>
  <c r="P179" i="13"/>
  <c r="D179" i="13"/>
  <c r="K179" i="13"/>
  <c r="R155" i="13"/>
  <c r="I146" i="13"/>
  <c r="Q155" i="13"/>
  <c r="F179" i="13"/>
  <c r="T179" i="13"/>
  <c r="W146" i="13"/>
  <c r="I155" i="13"/>
  <c r="G146" i="13"/>
  <c r="G179" i="13"/>
  <c r="T146" i="13"/>
  <c r="E146" i="13"/>
  <c r="K155" i="13"/>
  <c r="H155" i="13"/>
  <c r="B179" i="13"/>
  <c r="C179" i="13"/>
  <c r="R179" i="13"/>
  <c r="K146" i="13"/>
  <c r="V3" i="12"/>
  <c r="U4" i="12"/>
  <c r="AO26" i="10"/>
  <c r="AJ22" i="10"/>
  <c r="AL26" i="10"/>
  <c r="AJ18" i="10"/>
  <c r="AJ26" i="10"/>
  <c r="AN26" i="10"/>
  <c r="AM22" i="10"/>
  <c r="AS22" i="10"/>
  <c r="AR28" i="10"/>
  <c r="AR29" i="10"/>
  <c r="AS25" i="10"/>
  <c r="AL25" i="10"/>
  <c r="AS21" i="10"/>
  <c r="AN25" i="10"/>
  <c r="AO25" i="10"/>
  <c r="AJ27" i="10"/>
  <c r="AR25" i="10"/>
  <c r="AK22" i="10"/>
  <c r="AO22" i="10"/>
  <c r="AJ21" i="10"/>
  <c r="AR22" i="10"/>
  <c r="AS26" i="10"/>
  <c r="AR26" i="10"/>
  <c r="AK29" i="10"/>
  <c r="AK25" i="10"/>
  <c r="AJ25" i="10"/>
  <c r="AK26" i="10"/>
  <c r="AM24" i="10"/>
  <c r="AI24" i="10"/>
  <c r="AH24" i="10"/>
  <c r="AS28" i="10"/>
  <c r="AL28" i="10"/>
  <c r="AR24" i="10"/>
  <c r="AH28" i="10"/>
  <c r="AL24" i="10"/>
  <c r="AS29" i="10"/>
  <c r="AO27" i="10"/>
  <c r="AL27" i="10"/>
  <c r="AO28" i="10"/>
  <c r="AS24" i="10"/>
  <c r="AN28" i="10"/>
  <c r="AI22" i="10"/>
  <c r="AL29" i="10"/>
  <c r="AN27" i="10"/>
  <c r="AO24" i="10"/>
  <c r="AH27" i="10"/>
  <c r="AN24" i="10"/>
  <c r="AO29" i="10"/>
  <c r="AK27" i="10"/>
  <c r="AI25" i="10"/>
  <c r="AM25" i="10"/>
  <c r="AK28" i="10"/>
  <c r="AK24" i="10"/>
  <c r="AI29" i="10"/>
  <c r="AM29" i="10"/>
  <c r="AH29" i="10"/>
  <c r="AJ29" i="10"/>
  <c r="AI28" i="10"/>
  <c r="AM28" i="10"/>
  <c r="AM27" i="10"/>
  <c r="AI27" i="10"/>
  <c r="AI26" i="10"/>
  <c r="AM26" i="10"/>
  <c r="AJ24" i="10"/>
  <c r="AL18" i="10"/>
  <c r="AH18" i="10"/>
  <c r="AL19" i="10"/>
  <c r="AH19" i="10"/>
  <c r="AM19" i="10"/>
  <c r="AL21" i="10"/>
  <c r="AH21" i="10"/>
  <c r="AI21" i="10"/>
  <c r="AI18" i="10"/>
  <c r="AM18" i="10"/>
  <c r="AO18" i="10"/>
  <c r="AR21" i="10"/>
  <c r="AN18" i="10"/>
  <c r="AS19" i="10"/>
  <c r="AN19" i="10"/>
  <c r="AN21" i="10"/>
  <c r="AL22" i="10"/>
  <c r="AH22" i="10"/>
  <c r="AS18" i="10"/>
  <c r="AR19" i="10"/>
  <c r="AK21" i="10"/>
  <c r="AO19" i="10"/>
  <c r="AR18" i="10"/>
  <c r="AO21" i="10"/>
  <c r="AK19" i="10"/>
  <c r="AI19" i="10"/>
  <c r="G7" i="10"/>
  <c r="H7" i="3"/>
  <c r="I7" i="10" s="1"/>
  <c r="G7" i="3"/>
  <c r="H7" i="10" s="1"/>
  <c r="AA190" i="13" l="1"/>
  <c r="Z190" i="13"/>
  <c r="BR90" i="13"/>
  <c r="BS90" i="13"/>
  <c r="BT90" i="13"/>
  <c r="AB166" i="13"/>
  <c r="AW59" i="13"/>
  <c r="CN59" i="13" s="1"/>
  <c r="EH59" i="13" s="1"/>
  <c r="AA166" i="13"/>
  <c r="AV59" i="13"/>
  <c r="CM59" i="13" s="1"/>
  <c r="EG59" i="13" s="1"/>
  <c r="AB135" i="13"/>
  <c r="Z135" i="13"/>
  <c r="AA135" i="13"/>
  <c r="AB190" i="13"/>
  <c r="Z166" i="13"/>
  <c r="AU59" i="13"/>
  <c r="CL59" i="13" s="1"/>
  <c r="EF59" i="13" s="1"/>
  <c r="CB90" i="13"/>
  <c r="CC90" i="13"/>
  <c r="BZ90" i="13"/>
  <c r="CA90" i="13"/>
  <c r="AK183" i="13"/>
  <c r="AH123" i="13"/>
  <c r="AJ183" i="13"/>
  <c r="AI159" i="13"/>
  <c r="AK123" i="13"/>
  <c r="AJ141" i="13"/>
  <c r="AJ105" i="13"/>
  <c r="AM53" i="13" s="1"/>
  <c r="AJ123" i="13"/>
  <c r="AI243" i="13"/>
  <c r="AJ243" i="13"/>
  <c r="AI105" i="13"/>
  <c r="AL53" i="13" s="1"/>
  <c r="AK105" i="13"/>
  <c r="AN53" i="13" s="1"/>
  <c r="AK141" i="13"/>
  <c r="AH159" i="13"/>
  <c r="AH183" i="13"/>
  <c r="AK159" i="13"/>
  <c r="AH141" i="13"/>
  <c r="AI123" i="13"/>
  <c r="AJ159" i="13"/>
  <c r="AH244" i="13"/>
  <c r="AI141" i="13"/>
  <c r="AI183" i="13"/>
  <c r="AH105" i="13"/>
  <c r="AK53" i="13" s="1"/>
  <c r="BV90" i="13"/>
  <c r="CD90" i="13"/>
  <c r="CH90" i="13"/>
  <c r="CF90" i="13"/>
  <c r="BU90" i="13"/>
  <c r="CG90" i="13"/>
  <c r="BW90" i="13"/>
  <c r="CE90" i="13"/>
  <c r="CI90" i="13"/>
  <c r="BX90" i="13"/>
  <c r="CJ90" i="13"/>
  <c r="BY90" i="13"/>
  <c r="AP241" i="13"/>
  <c r="AM242" i="13"/>
  <c r="AN182" i="13"/>
  <c r="AP181" i="13"/>
  <c r="AC157" i="13"/>
  <c r="AF181" i="13"/>
  <c r="AO241" i="13"/>
  <c r="AQ243" i="13"/>
  <c r="AG181" i="13"/>
  <c r="AC181" i="13"/>
  <c r="AN143" i="13"/>
  <c r="AG242" i="13"/>
  <c r="AG157" i="13"/>
  <c r="AE241" i="13"/>
  <c r="AL158" i="13"/>
  <c r="AF241" i="13"/>
  <c r="AM143" i="13"/>
  <c r="AO157" i="13"/>
  <c r="AM181" i="13"/>
  <c r="AO143" i="13"/>
  <c r="AE157" i="13"/>
  <c r="AM157" i="13"/>
  <c r="AL241" i="13"/>
  <c r="AQ157" i="13"/>
  <c r="AQ143" i="13"/>
  <c r="AN241" i="13"/>
  <c r="AN157" i="13"/>
  <c r="AL143" i="13"/>
  <c r="AO181" i="13"/>
  <c r="AP143" i="13"/>
  <c r="AE181" i="13"/>
  <c r="AP157" i="13"/>
  <c r="AD242" i="13"/>
  <c r="AL181" i="13"/>
  <c r="AC242" i="13"/>
  <c r="AQ181" i="13"/>
  <c r="AD181" i="13"/>
  <c r="AD157" i="13"/>
  <c r="AF157" i="13"/>
  <c r="AV90" i="13"/>
  <c r="AZ90" i="13"/>
  <c r="BD90" i="13"/>
  <c r="BH90" i="13"/>
  <c r="BL90" i="13"/>
  <c r="BP90" i="13"/>
  <c r="AX90" i="13"/>
  <c r="BC90" i="13"/>
  <c r="BI90" i="13"/>
  <c r="BN90" i="13"/>
  <c r="AW90" i="13"/>
  <c r="BE90" i="13"/>
  <c r="BK90" i="13"/>
  <c r="AU90" i="13"/>
  <c r="BF90" i="13"/>
  <c r="BO90" i="13"/>
  <c r="BA90" i="13"/>
  <c r="BM90" i="13"/>
  <c r="BB90" i="13"/>
  <c r="BQ90" i="13"/>
  <c r="AY90" i="13"/>
  <c r="BG90" i="13"/>
  <c r="BJ90" i="13"/>
  <c r="AT90" i="13"/>
  <c r="R180" i="13"/>
  <c r="B180" i="13"/>
  <c r="K156" i="13"/>
  <c r="R58" i="13"/>
  <c r="T145" i="13"/>
  <c r="G145" i="13"/>
  <c r="T180" i="13"/>
  <c r="X58" i="13"/>
  <c r="Q156" i="13"/>
  <c r="Y58" i="13"/>
  <c r="R156" i="13"/>
  <c r="D180" i="13"/>
  <c r="S145" i="13"/>
  <c r="C156" i="13"/>
  <c r="J58" i="13"/>
  <c r="M58" i="13"/>
  <c r="F156" i="13"/>
  <c r="AB58" i="13"/>
  <c r="U156" i="13"/>
  <c r="C145" i="13"/>
  <c r="V58" i="13"/>
  <c r="O156" i="13"/>
  <c r="X145" i="13"/>
  <c r="A92" i="13"/>
  <c r="AS91" i="13"/>
  <c r="L180" i="13"/>
  <c r="V180" i="13"/>
  <c r="X180" i="13"/>
  <c r="U180" i="13"/>
  <c r="L156" i="13"/>
  <c r="S58" i="13"/>
  <c r="I180" i="13"/>
  <c r="M145" i="13"/>
  <c r="G156" i="13"/>
  <c r="N58" i="13"/>
  <c r="N156" i="13"/>
  <c r="U58" i="13"/>
  <c r="J156" i="13"/>
  <c r="Q58" i="13"/>
  <c r="P156" i="13"/>
  <c r="W58" i="13"/>
  <c r="AE58" i="13"/>
  <c r="X156" i="13"/>
  <c r="H145" i="13"/>
  <c r="F145" i="13"/>
  <c r="K58" i="13"/>
  <c r="D156" i="13"/>
  <c r="I58" i="13"/>
  <c r="B156" i="13"/>
  <c r="AD58" i="13"/>
  <c r="W156" i="13"/>
  <c r="K145" i="13"/>
  <c r="C180" i="13"/>
  <c r="O58" i="13"/>
  <c r="H156" i="13"/>
  <c r="E145" i="13"/>
  <c r="G180" i="13"/>
  <c r="P58" i="13"/>
  <c r="I156" i="13"/>
  <c r="W145" i="13"/>
  <c r="F180" i="13"/>
  <c r="I145" i="13"/>
  <c r="K180" i="13"/>
  <c r="P180" i="13"/>
  <c r="AC58" i="13"/>
  <c r="V156" i="13"/>
  <c r="E180" i="13"/>
  <c r="U145" i="13"/>
  <c r="J180" i="13"/>
  <c r="T156" i="13"/>
  <c r="AA58" i="13"/>
  <c r="B145" i="13"/>
  <c r="L145" i="13"/>
  <c r="T58" i="13"/>
  <c r="M156" i="13"/>
  <c r="D145" i="13"/>
  <c r="H180" i="13"/>
  <c r="S180" i="13"/>
  <c r="O180" i="13"/>
  <c r="W180" i="13"/>
  <c r="L58" i="13"/>
  <c r="E156" i="13"/>
  <c r="J145" i="13"/>
  <c r="V145" i="13"/>
  <c r="M180" i="13"/>
  <c r="N180" i="13"/>
  <c r="Q180" i="13"/>
  <c r="S156" i="13"/>
  <c r="Z58" i="13"/>
  <c r="W3" i="12"/>
  <c r="V4" i="12"/>
  <c r="AB191" i="13" l="1"/>
  <c r="Z134" i="13"/>
  <c r="AU56" i="13"/>
  <c r="CL56" i="13" s="1"/>
  <c r="EF56" i="13" s="1"/>
  <c r="AB167" i="13"/>
  <c r="BS91" i="13"/>
  <c r="BT91" i="13"/>
  <c r="BR91" i="13"/>
  <c r="AA167" i="13"/>
  <c r="Z191" i="13"/>
  <c r="Z167" i="13"/>
  <c r="AA134" i="13"/>
  <c r="AV56" i="13"/>
  <c r="CM56" i="13" s="1"/>
  <c r="EG56" i="13" s="1"/>
  <c r="AB134" i="13"/>
  <c r="AW56" i="13"/>
  <c r="CN56" i="13" s="1"/>
  <c r="EH56" i="13" s="1"/>
  <c r="AA191" i="13"/>
  <c r="CB91" i="13"/>
  <c r="CC91" i="13"/>
  <c r="BZ91" i="13"/>
  <c r="CA91" i="13"/>
  <c r="AH245" i="13"/>
  <c r="AK67" i="13" s="1"/>
  <c r="CB67" i="13" s="1"/>
  <c r="DV67" i="13" s="1"/>
  <c r="AK160" i="13"/>
  <c r="AK104" i="13"/>
  <c r="AJ122" i="13"/>
  <c r="AH122" i="13"/>
  <c r="AI184" i="13"/>
  <c r="AI122" i="13"/>
  <c r="AH160" i="13"/>
  <c r="AJ244" i="13"/>
  <c r="AJ140" i="13"/>
  <c r="AI160" i="13"/>
  <c r="AH104" i="13"/>
  <c r="AI140" i="13"/>
  <c r="AJ160" i="13"/>
  <c r="AH140" i="13"/>
  <c r="AH184" i="13"/>
  <c r="AK140" i="13"/>
  <c r="AI104" i="13"/>
  <c r="AI244" i="13"/>
  <c r="AJ104" i="13"/>
  <c r="AK122" i="13"/>
  <c r="AJ184" i="13"/>
  <c r="AK184" i="13"/>
  <c r="BV91" i="13"/>
  <c r="CD91" i="13"/>
  <c r="CH91" i="13"/>
  <c r="BX91" i="13"/>
  <c r="CJ91" i="13"/>
  <c r="BY91" i="13"/>
  <c r="BW91" i="13"/>
  <c r="CE91" i="13"/>
  <c r="CI91" i="13"/>
  <c r="CF91" i="13"/>
  <c r="BU91" i="13"/>
  <c r="CG91" i="13"/>
  <c r="BH58" i="13"/>
  <c r="BJ58" i="13"/>
  <c r="BD58" i="13"/>
  <c r="BO58" i="13"/>
  <c r="BG58" i="13"/>
  <c r="BF58" i="13"/>
  <c r="BU58" i="13"/>
  <c r="BB58" i="13"/>
  <c r="BV58" i="13"/>
  <c r="BA58" i="13"/>
  <c r="AD158" i="13"/>
  <c r="AQ182" i="13"/>
  <c r="AD243" i="13"/>
  <c r="AE182" i="13"/>
  <c r="AO182" i="13"/>
  <c r="AN158" i="13"/>
  <c r="AQ142" i="13"/>
  <c r="AE158" i="13"/>
  <c r="AO158" i="13"/>
  <c r="AF242" i="13"/>
  <c r="AE242" i="13"/>
  <c r="AG243" i="13"/>
  <c r="AN142" i="13"/>
  <c r="AG182" i="13"/>
  <c r="AQ244" i="13"/>
  <c r="AF182" i="13"/>
  <c r="AP182" i="13"/>
  <c r="AP242" i="13"/>
  <c r="BR58" i="13"/>
  <c r="BT58" i="13"/>
  <c r="BN58" i="13"/>
  <c r="BL58" i="13"/>
  <c r="BM58" i="13"/>
  <c r="BS58" i="13"/>
  <c r="BP58" i="13"/>
  <c r="BI58" i="13"/>
  <c r="AL242" i="13"/>
  <c r="BQ58" i="13"/>
  <c r="BE58" i="13"/>
  <c r="BC58" i="13"/>
  <c r="BK58" i="13"/>
  <c r="AZ58" i="13"/>
  <c r="AF158" i="13"/>
  <c r="AD182" i="13"/>
  <c r="AC243" i="13"/>
  <c r="AL182" i="13"/>
  <c r="AP158" i="13"/>
  <c r="AP142" i="13"/>
  <c r="AL142" i="13"/>
  <c r="AN242" i="13"/>
  <c r="AQ158" i="13"/>
  <c r="AM158" i="13"/>
  <c r="AO142" i="13"/>
  <c r="AM182" i="13"/>
  <c r="AM142" i="13"/>
  <c r="AL159" i="13"/>
  <c r="AG158" i="13"/>
  <c r="AC182" i="13"/>
  <c r="AO242" i="13"/>
  <c r="AC158" i="13"/>
  <c r="AN183" i="13"/>
  <c r="AM243" i="13"/>
  <c r="M181" i="13"/>
  <c r="X157" i="13"/>
  <c r="P157" i="13"/>
  <c r="T57" i="13"/>
  <c r="M144" i="13"/>
  <c r="W57" i="13"/>
  <c r="C157" i="13"/>
  <c r="AA57" i="13"/>
  <c r="T144" i="13"/>
  <c r="E157" i="13"/>
  <c r="W181" i="13"/>
  <c r="S181" i="13"/>
  <c r="K57" i="13"/>
  <c r="D144" i="13"/>
  <c r="I157" i="13"/>
  <c r="G181" i="13"/>
  <c r="G157" i="13"/>
  <c r="X181" i="13"/>
  <c r="L181" i="13"/>
  <c r="X144" i="13"/>
  <c r="AE57" i="13"/>
  <c r="U157" i="13"/>
  <c r="B181" i="13"/>
  <c r="Q181" i="13"/>
  <c r="Y57" i="13"/>
  <c r="V144" i="13"/>
  <c r="AC57" i="13"/>
  <c r="V57" i="13"/>
  <c r="B144" i="13"/>
  <c r="I57" i="13"/>
  <c r="K181" i="13"/>
  <c r="F181" i="13"/>
  <c r="K144" i="13"/>
  <c r="R57" i="13"/>
  <c r="B157" i="13"/>
  <c r="N157" i="13"/>
  <c r="I181" i="13"/>
  <c r="AW91" i="13"/>
  <c r="BA91" i="13"/>
  <c r="BE91" i="13"/>
  <c r="BI91" i="13"/>
  <c r="BM91" i="13"/>
  <c r="BQ91" i="13"/>
  <c r="AV91" i="13"/>
  <c r="BB91" i="13"/>
  <c r="BG91" i="13"/>
  <c r="BL91" i="13"/>
  <c r="AU91" i="13"/>
  <c r="BC91" i="13"/>
  <c r="BJ91" i="13"/>
  <c r="BP91" i="13"/>
  <c r="AZ91" i="13"/>
  <c r="BK91" i="13"/>
  <c r="BD91" i="13"/>
  <c r="BO91" i="13"/>
  <c r="AT91" i="13"/>
  <c r="BF91" i="13"/>
  <c r="AX91" i="13"/>
  <c r="AY91" i="13"/>
  <c r="BH91" i="13"/>
  <c r="BN91" i="13"/>
  <c r="O157" i="13"/>
  <c r="C144" i="13"/>
  <c r="J57" i="13"/>
  <c r="R157" i="13"/>
  <c r="N57" i="13"/>
  <c r="G144" i="13"/>
  <c r="K157" i="13"/>
  <c r="N181" i="13"/>
  <c r="Q57" i="13"/>
  <c r="J144" i="13"/>
  <c r="M157" i="13"/>
  <c r="S57" i="13"/>
  <c r="L144" i="13"/>
  <c r="T157" i="13"/>
  <c r="V157" i="13"/>
  <c r="P181" i="13"/>
  <c r="I144" i="13"/>
  <c r="P57" i="13"/>
  <c r="AD57" i="13"/>
  <c r="W144" i="13"/>
  <c r="H157" i="13"/>
  <c r="C181" i="13"/>
  <c r="L157" i="13"/>
  <c r="F157" i="13"/>
  <c r="AB57" i="13"/>
  <c r="U144" i="13"/>
  <c r="D157" i="13"/>
  <c r="F144" i="13"/>
  <c r="M57" i="13"/>
  <c r="D181" i="13"/>
  <c r="Q157" i="13"/>
  <c r="T181" i="13"/>
  <c r="S157" i="13"/>
  <c r="O181" i="13"/>
  <c r="H181" i="13"/>
  <c r="U57" i="13"/>
  <c r="J181" i="13"/>
  <c r="E181" i="13"/>
  <c r="X57" i="13"/>
  <c r="L57" i="13"/>
  <c r="E144" i="13"/>
  <c r="W157" i="13"/>
  <c r="O57" i="13"/>
  <c r="H144" i="13"/>
  <c r="J157" i="13"/>
  <c r="U181" i="13"/>
  <c r="V181" i="13"/>
  <c r="A93" i="13"/>
  <c r="AS92" i="13"/>
  <c r="Z57" i="13"/>
  <c r="S144" i="13"/>
  <c r="R181" i="13"/>
  <c r="X3" i="12"/>
  <c r="W4" i="12"/>
  <c r="AA168" i="13" l="1"/>
  <c r="AB133" i="13"/>
  <c r="AA192" i="13"/>
  <c r="Z168" i="13"/>
  <c r="AB168" i="13"/>
  <c r="BT92" i="13"/>
  <c r="BR92" i="13"/>
  <c r="BS92" i="13"/>
  <c r="Z133" i="13"/>
  <c r="AA133" i="13"/>
  <c r="Z192" i="13"/>
  <c r="AB192" i="13"/>
  <c r="CB92" i="13"/>
  <c r="CC92" i="13"/>
  <c r="BZ92" i="13"/>
  <c r="CA92" i="13"/>
  <c r="AH161" i="13"/>
  <c r="AJ121" i="13"/>
  <c r="AJ185" i="13"/>
  <c r="AM61" i="13" s="1"/>
  <c r="CD61" i="13" s="1"/>
  <c r="DX61" i="13" s="1"/>
  <c r="AH185" i="13"/>
  <c r="AK61" i="13" s="1"/>
  <c r="CB61" i="13" s="1"/>
  <c r="DV61" i="13" s="1"/>
  <c r="AJ161" i="13"/>
  <c r="AJ139" i="13"/>
  <c r="AI185" i="13"/>
  <c r="AL61" i="13" s="1"/>
  <c r="CC61" i="13" s="1"/>
  <c r="DW61" i="13" s="1"/>
  <c r="AK161" i="13"/>
  <c r="AK185" i="13"/>
  <c r="AN61" i="13" s="1"/>
  <c r="CE61" i="13" s="1"/>
  <c r="DY61" i="13" s="1"/>
  <c r="AK121" i="13"/>
  <c r="AI245" i="13"/>
  <c r="AL67" i="13" s="1"/>
  <c r="CC67" i="13" s="1"/>
  <c r="DW67" i="13" s="1"/>
  <c r="AK139" i="13"/>
  <c r="AH139" i="13"/>
  <c r="AI139" i="13"/>
  <c r="AI161" i="13"/>
  <c r="AJ245" i="13"/>
  <c r="AM67" i="13" s="1"/>
  <c r="CD67" i="13" s="1"/>
  <c r="DX67" i="13" s="1"/>
  <c r="AI121" i="13"/>
  <c r="AH121" i="13"/>
  <c r="AH246" i="13"/>
  <c r="BV92" i="13"/>
  <c r="CD92" i="13"/>
  <c r="CH92" i="13"/>
  <c r="CF92" i="13"/>
  <c r="BU92" i="13"/>
  <c r="CG92" i="13"/>
  <c r="BW92" i="13"/>
  <c r="CE92" i="13"/>
  <c r="CI92" i="13"/>
  <c r="BX92" i="13"/>
  <c r="CJ92" i="13"/>
  <c r="BY92" i="13"/>
  <c r="CY58" i="13"/>
  <c r="DJ58" i="13"/>
  <c r="DB58" i="13"/>
  <c r="DE58" i="13"/>
  <c r="DH58" i="13"/>
  <c r="DP58" i="13"/>
  <c r="DA58" i="13"/>
  <c r="DG58" i="13"/>
  <c r="DL58" i="13"/>
  <c r="DO58" i="13"/>
  <c r="CX58" i="13"/>
  <c r="BQ57" i="13"/>
  <c r="BF57" i="13"/>
  <c r="BD57" i="13"/>
  <c r="AO243" i="13"/>
  <c r="AG159" i="13"/>
  <c r="AM183" i="13"/>
  <c r="AP141" i="13"/>
  <c r="AD183" i="13"/>
  <c r="AG183" i="13"/>
  <c r="AF243" i="13"/>
  <c r="AE159" i="13"/>
  <c r="AN159" i="13"/>
  <c r="AD159" i="13"/>
  <c r="BS57" i="13"/>
  <c r="BH57" i="13"/>
  <c r="BP57" i="13"/>
  <c r="BN57" i="13"/>
  <c r="EK58" i="13"/>
  <c r="BC57" i="13"/>
  <c r="BU57" i="13"/>
  <c r="BK57" i="13"/>
  <c r="BL57" i="13"/>
  <c r="BG57" i="13"/>
  <c r="BA57" i="13"/>
  <c r="AN184" i="13"/>
  <c r="AC183" i="13"/>
  <c r="AM141" i="13"/>
  <c r="AM159" i="13"/>
  <c r="AN243" i="13"/>
  <c r="AL183" i="13"/>
  <c r="AL243" i="13"/>
  <c r="AF183" i="13"/>
  <c r="AG244" i="13"/>
  <c r="AE183" i="13"/>
  <c r="BO57" i="13"/>
  <c r="BE57" i="13"/>
  <c r="BM57" i="13"/>
  <c r="BV57" i="13"/>
  <c r="BB57" i="13"/>
  <c r="BJ57" i="13"/>
  <c r="BI57" i="13"/>
  <c r="AZ57" i="13"/>
  <c r="BT57" i="13"/>
  <c r="BR57" i="13"/>
  <c r="AM244" i="13"/>
  <c r="AC159" i="13"/>
  <c r="AL160" i="13"/>
  <c r="AO141" i="13"/>
  <c r="AQ159" i="13"/>
  <c r="AL141" i="13"/>
  <c r="AP159" i="13"/>
  <c r="AC244" i="13"/>
  <c r="AF159" i="13"/>
  <c r="CT58" i="13"/>
  <c r="CW58" i="13"/>
  <c r="DK58" i="13"/>
  <c r="DC58" i="13"/>
  <c r="DM58" i="13"/>
  <c r="DF58" i="13"/>
  <c r="DN58" i="13"/>
  <c r="AP243" i="13"/>
  <c r="AP183" i="13"/>
  <c r="AQ245" i="13"/>
  <c r="AT67" i="13" s="1"/>
  <c r="CK67" i="13" s="1"/>
  <c r="EE67" i="13" s="1"/>
  <c r="AN141" i="13"/>
  <c r="AE243" i="13"/>
  <c r="AO159" i="13"/>
  <c r="AQ141" i="13"/>
  <c r="AO183" i="13"/>
  <c r="AD244" i="13"/>
  <c r="AQ183" i="13"/>
  <c r="CU58" i="13"/>
  <c r="CV58" i="13"/>
  <c r="CZ58" i="13"/>
  <c r="DI58" i="13"/>
  <c r="DD58" i="13"/>
  <c r="J182" i="13"/>
  <c r="O182" i="13"/>
  <c r="T182" i="13"/>
  <c r="D182" i="13"/>
  <c r="F143" i="13"/>
  <c r="F158" i="13"/>
  <c r="W143" i="13"/>
  <c r="M158" i="13"/>
  <c r="G143" i="13"/>
  <c r="Q182" i="13"/>
  <c r="H143" i="13"/>
  <c r="C182" i="13"/>
  <c r="J143" i="13"/>
  <c r="N182" i="13"/>
  <c r="O158" i="13"/>
  <c r="N158" i="13"/>
  <c r="B158" i="13"/>
  <c r="K182" i="13"/>
  <c r="X182" i="13"/>
  <c r="X158" i="13"/>
  <c r="S143" i="13"/>
  <c r="V182" i="13"/>
  <c r="W158" i="13"/>
  <c r="E182" i="13"/>
  <c r="H182" i="13"/>
  <c r="S158" i="13"/>
  <c r="Q158" i="13"/>
  <c r="L158" i="13"/>
  <c r="C143" i="13"/>
  <c r="V143" i="13"/>
  <c r="U158" i="13"/>
  <c r="G182" i="13"/>
  <c r="D143" i="13"/>
  <c r="S182" i="13"/>
  <c r="E158" i="13"/>
  <c r="A94" i="13"/>
  <c r="AS93" i="13"/>
  <c r="U182" i="13"/>
  <c r="I143" i="13"/>
  <c r="L143" i="13"/>
  <c r="K143" i="13"/>
  <c r="X143" i="13"/>
  <c r="I158" i="13"/>
  <c r="W182" i="13"/>
  <c r="V158" i="13"/>
  <c r="R182" i="13"/>
  <c r="AX92" i="13"/>
  <c r="BB92" i="13"/>
  <c r="BF92" i="13"/>
  <c r="BJ92" i="13"/>
  <c r="BN92" i="13"/>
  <c r="AU92" i="13"/>
  <c r="AZ92" i="13"/>
  <c r="BE92" i="13"/>
  <c r="BK92" i="13"/>
  <c r="BP92" i="13"/>
  <c r="BA92" i="13"/>
  <c r="BH92" i="13"/>
  <c r="BO92" i="13"/>
  <c r="AW92" i="13"/>
  <c r="BG92" i="13"/>
  <c r="BQ92" i="13"/>
  <c r="BD92" i="13"/>
  <c r="AV92" i="13"/>
  <c r="BI92" i="13"/>
  <c r="AY92" i="13"/>
  <c r="BC92" i="13"/>
  <c r="BL92" i="13"/>
  <c r="BM92" i="13"/>
  <c r="AT92" i="13"/>
  <c r="J158" i="13"/>
  <c r="E143" i="13"/>
  <c r="D158" i="13"/>
  <c r="U143" i="13"/>
  <c r="H158" i="13"/>
  <c r="P182" i="13"/>
  <c r="T158" i="13"/>
  <c r="K158" i="13"/>
  <c r="R158" i="13"/>
  <c r="I182" i="13"/>
  <c r="F182" i="13"/>
  <c r="B143" i="13"/>
  <c r="B182" i="13"/>
  <c r="L182" i="13"/>
  <c r="G158" i="13"/>
  <c r="T143" i="13"/>
  <c r="C158" i="13"/>
  <c r="M143" i="13"/>
  <c r="P158" i="13"/>
  <c r="M182" i="13"/>
  <c r="Y3" i="12"/>
  <c r="X4" i="12"/>
  <c r="AB193" i="13" l="1"/>
  <c r="AA132" i="13"/>
  <c r="BR93" i="13"/>
  <c r="BS93" i="13"/>
  <c r="BT93" i="13"/>
  <c r="Z169" i="13"/>
  <c r="AB132" i="13"/>
  <c r="Z193" i="13"/>
  <c r="Z132" i="13"/>
  <c r="AB169" i="13"/>
  <c r="AA193" i="13"/>
  <c r="AA169" i="13"/>
  <c r="CB93" i="13"/>
  <c r="CC93" i="13"/>
  <c r="BZ93" i="13"/>
  <c r="CA93" i="13"/>
  <c r="AJ246" i="13"/>
  <c r="AK138" i="13"/>
  <c r="AK120" i="13"/>
  <c r="AJ138" i="13"/>
  <c r="AH186" i="13"/>
  <c r="AJ120" i="13"/>
  <c r="AH120" i="13"/>
  <c r="AI138" i="13"/>
  <c r="AK162" i="13"/>
  <c r="AH247" i="13"/>
  <c r="AI120" i="13"/>
  <c r="AI162" i="13"/>
  <c r="AH138" i="13"/>
  <c r="AI246" i="13"/>
  <c r="AK186" i="13"/>
  <c r="AI186" i="13"/>
  <c r="AJ162" i="13"/>
  <c r="AJ186" i="13"/>
  <c r="AH162" i="13"/>
  <c r="BV93" i="13"/>
  <c r="CD93" i="13"/>
  <c r="CH93" i="13"/>
  <c r="BX93" i="13"/>
  <c r="CJ93" i="13"/>
  <c r="BY93" i="13"/>
  <c r="BW93" i="13"/>
  <c r="CE93" i="13"/>
  <c r="CI93" i="13"/>
  <c r="CF93" i="13"/>
  <c r="BU93" i="13"/>
  <c r="CG93" i="13"/>
  <c r="DN57" i="13"/>
  <c r="CV57" i="13"/>
  <c r="DI57" i="13"/>
  <c r="CX57" i="13"/>
  <c r="DF57" i="13"/>
  <c r="DM57" i="13"/>
  <c r="DC57" i="13"/>
  <c r="DG57" i="13"/>
  <c r="CU57" i="13"/>
  <c r="DO57" i="13"/>
  <c r="DJ57" i="13"/>
  <c r="AQ184" i="13"/>
  <c r="AN140" i="13"/>
  <c r="AC245" i="13"/>
  <c r="AF67" i="13" s="1"/>
  <c r="BW67" i="13" s="1"/>
  <c r="DQ67" i="13" s="1"/>
  <c r="AO140" i="13"/>
  <c r="AM245" i="13"/>
  <c r="AP67" i="13" s="1"/>
  <c r="CG67" i="13" s="1"/>
  <c r="EA67" i="13" s="1"/>
  <c r="AL184" i="13"/>
  <c r="AC184" i="13"/>
  <c r="AF244" i="13"/>
  <c r="AG160" i="13"/>
  <c r="AE244" i="13"/>
  <c r="EK57" i="13"/>
  <c r="AN244" i="13"/>
  <c r="AO184" i="13"/>
  <c r="AO160" i="13"/>
  <c r="AP184" i="13"/>
  <c r="AL140" i="13"/>
  <c r="AL161" i="13"/>
  <c r="AE184" i="13"/>
  <c r="AF184" i="13"/>
  <c r="AM160" i="13"/>
  <c r="AN160" i="13"/>
  <c r="AP140" i="13"/>
  <c r="AD245" i="13"/>
  <c r="AG67" i="13" s="1"/>
  <c r="BX67" i="13" s="1"/>
  <c r="DR67" i="13" s="1"/>
  <c r="AQ140" i="13"/>
  <c r="AQ246" i="13"/>
  <c r="AP244" i="13"/>
  <c r="AF160" i="13"/>
  <c r="AP160" i="13"/>
  <c r="AQ160" i="13"/>
  <c r="AC160" i="13"/>
  <c r="DL57" i="13"/>
  <c r="CT57" i="13"/>
  <c r="DD57" i="13"/>
  <c r="DP57" i="13"/>
  <c r="CY57" i="13"/>
  <c r="AG245" i="13"/>
  <c r="AJ67" i="13" s="1"/>
  <c r="CA67" i="13" s="1"/>
  <c r="DU67" i="13" s="1"/>
  <c r="AL244" i="13"/>
  <c r="AM140" i="13"/>
  <c r="AN185" i="13"/>
  <c r="AQ61" i="13" s="1"/>
  <c r="CH61" i="13" s="1"/>
  <c r="EB61" i="13" s="1"/>
  <c r="DA57" i="13"/>
  <c r="DE57" i="13"/>
  <c r="CW57" i="13"/>
  <c r="DH57" i="13"/>
  <c r="DB57" i="13"/>
  <c r="AD160" i="13"/>
  <c r="AE160" i="13"/>
  <c r="AG184" i="13"/>
  <c r="AD184" i="13"/>
  <c r="AM184" i="13"/>
  <c r="AO244" i="13"/>
  <c r="CZ57" i="13"/>
  <c r="DK57" i="13"/>
  <c r="P159" i="13"/>
  <c r="T159" i="13"/>
  <c r="I142" i="13"/>
  <c r="K183" i="13"/>
  <c r="N159" i="13"/>
  <c r="H142" i="13"/>
  <c r="Q183" i="13"/>
  <c r="M159" i="13"/>
  <c r="F159" i="13"/>
  <c r="D183" i="13"/>
  <c r="B142" i="13"/>
  <c r="I183" i="13"/>
  <c r="H159" i="13"/>
  <c r="R183" i="13"/>
  <c r="W183" i="13"/>
  <c r="X142" i="13"/>
  <c r="A95" i="13"/>
  <c r="AS94" i="13"/>
  <c r="S183" i="13"/>
  <c r="G183" i="13"/>
  <c r="L159" i="13"/>
  <c r="S159" i="13"/>
  <c r="V183" i="13"/>
  <c r="X159" i="13"/>
  <c r="X183" i="13"/>
  <c r="N183" i="13"/>
  <c r="M142" i="13"/>
  <c r="B183" i="13"/>
  <c r="P183" i="13"/>
  <c r="D159" i="13"/>
  <c r="J159" i="13"/>
  <c r="V159" i="13"/>
  <c r="L142" i="13"/>
  <c r="E183" i="13"/>
  <c r="W159" i="13"/>
  <c r="B159" i="13"/>
  <c r="O159" i="13"/>
  <c r="C183" i="13"/>
  <c r="G142" i="13"/>
  <c r="F142" i="13"/>
  <c r="T183" i="13"/>
  <c r="J183" i="13"/>
  <c r="M183" i="13"/>
  <c r="C159" i="13"/>
  <c r="E142" i="13"/>
  <c r="AU93" i="13"/>
  <c r="AY93" i="13"/>
  <c r="BC93" i="13"/>
  <c r="BG93" i="13"/>
  <c r="BK93" i="13"/>
  <c r="BO93" i="13"/>
  <c r="AX93" i="13"/>
  <c r="BD93" i="13"/>
  <c r="BI93" i="13"/>
  <c r="BN93" i="13"/>
  <c r="AZ93" i="13"/>
  <c r="BF93" i="13"/>
  <c r="BM93" i="13"/>
  <c r="BB93" i="13"/>
  <c r="BL93" i="13"/>
  <c r="AV93" i="13"/>
  <c r="BH93" i="13"/>
  <c r="AW93" i="13"/>
  <c r="BJ93" i="13"/>
  <c r="BA93" i="13"/>
  <c r="BE93" i="13"/>
  <c r="BP93" i="13"/>
  <c r="BQ93" i="13"/>
  <c r="AT93" i="13"/>
  <c r="O183" i="13"/>
  <c r="G159" i="13"/>
  <c r="K159" i="13"/>
  <c r="L183" i="13"/>
  <c r="F183" i="13"/>
  <c r="R159" i="13"/>
  <c r="I159" i="13"/>
  <c r="K142" i="13"/>
  <c r="U183" i="13"/>
  <c r="E159" i="13"/>
  <c r="D142" i="13"/>
  <c r="U159" i="13"/>
  <c r="C142" i="13"/>
  <c r="Q159" i="13"/>
  <c r="H183" i="13"/>
  <c r="J142" i="13"/>
  <c r="Z3" i="12"/>
  <c r="Z4" i="12" s="1"/>
  <c r="Y4" i="12"/>
  <c r="B3" i="10"/>
  <c r="C3" i="10"/>
  <c r="Q3" i="10" s="1"/>
  <c r="D3" i="10"/>
  <c r="R3" i="10" s="1"/>
  <c r="AG3" i="10" s="1"/>
  <c r="E3" i="10"/>
  <c r="F3" i="10"/>
  <c r="G3" i="10"/>
  <c r="J3" i="10"/>
  <c r="K3" i="10"/>
  <c r="L3" i="10"/>
  <c r="M3" i="10"/>
  <c r="AP3" i="10" s="1"/>
  <c r="N3" i="10"/>
  <c r="AQ3" i="10" s="1"/>
  <c r="O3" i="10"/>
  <c r="P3" i="10"/>
  <c r="B4" i="10"/>
  <c r="C4" i="10"/>
  <c r="Q4" i="10" s="1"/>
  <c r="D4" i="10"/>
  <c r="R4" i="10" s="1"/>
  <c r="AG4" i="10" s="1"/>
  <c r="E4" i="10"/>
  <c r="F4" i="10"/>
  <c r="G4" i="10"/>
  <c r="J4" i="10"/>
  <c r="K4" i="10"/>
  <c r="L4" i="10"/>
  <c r="M4" i="10"/>
  <c r="AP4" i="10" s="1"/>
  <c r="N4" i="10"/>
  <c r="AQ4" i="10" s="1"/>
  <c r="O4" i="10"/>
  <c r="P4" i="10"/>
  <c r="B10" i="8"/>
  <c r="B11" i="8"/>
  <c r="B12" i="8"/>
  <c r="B13" i="8"/>
  <c r="B14" i="8"/>
  <c r="C10" i="8"/>
  <c r="Q10" i="8" s="1"/>
  <c r="D10" i="8"/>
  <c r="E10" i="8"/>
  <c r="F10" i="8"/>
  <c r="G10" i="8"/>
  <c r="J10" i="8"/>
  <c r="K10" i="8"/>
  <c r="L10" i="8"/>
  <c r="M10" i="8"/>
  <c r="AP10" i="8" s="1"/>
  <c r="N10" i="8"/>
  <c r="AQ10" i="8" s="1"/>
  <c r="O10" i="8"/>
  <c r="P10" i="8"/>
  <c r="C11" i="8"/>
  <c r="Q11" i="8" s="1"/>
  <c r="D11" i="8"/>
  <c r="E11" i="8"/>
  <c r="F11" i="8"/>
  <c r="G11" i="8"/>
  <c r="J11" i="8"/>
  <c r="K11" i="8"/>
  <c r="L11" i="8"/>
  <c r="M11" i="8"/>
  <c r="AP11" i="8" s="1"/>
  <c r="N11" i="8"/>
  <c r="AQ11" i="8" s="1"/>
  <c r="O11" i="8"/>
  <c r="P11" i="8"/>
  <c r="C12" i="8"/>
  <c r="Q12" i="8" s="1"/>
  <c r="D12" i="8"/>
  <c r="E12" i="8"/>
  <c r="F12" i="8"/>
  <c r="G12" i="8"/>
  <c r="J12" i="8"/>
  <c r="K12" i="8"/>
  <c r="L12" i="8"/>
  <c r="M12" i="8"/>
  <c r="AP12" i="8" s="1"/>
  <c r="N12" i="8"/>
  <c r="AQ12" i="8" s="1"/>
  <c r="O12" i="8"/>
  <c r="P12" i="8"/>
  <c r="C13" i="8"/>
  <c r="Q13" i="8" s="1"/>
  <c r="D13" i="8"/>
  <c r="E13" i="8"/>
  <c r="F13" i="8"/>
  <c r="G13" i="8"/>
  <c r="J13" i="8"/>
  <c r="K13" i="8"/>
  <c r="L13" i="8"/>
  <c r="M13" i="8"/>
  <c r="AP13" i="8" s="1"/>
  <c r="N13" i="8"/>
  <c r="AQ13" i="8" s="1"/>
  <c r="O13" i="8"/>
  <c r="P13" i="8"/>
  <c r="C14" i="8"/>
  <c r="Q14" i="8" s="1"/>
  <c r="D14" i="8"/>
  <c r="E14" i="8"/>
  <c r="F14" i="8"/>
  <c r="G14" i="8"/>
  <c r="J14" i="8"/>
  <c r="K14" i="8"/>
  <c r="L14" i="8"/>
  <c r="M14" i="8"/>
  <c r="AP14" i="8" s="1"/>
  <c r="N14" i="8"/>
  <c r="AQ14" i="8" s="1"/>
  <c r="O14" i="8"/>
  <c r="P14" i="8"/>
  <c r="H3" i="3"/>
  <c r="I3" i="10" s="1"/>
  <c r="G3" i="3"/>
  <c r="H3" i="10" s="1"/>
  <c r="H22" i="3"/>
  <c r="I13" i="8" s="1"/>
  <c r="H23" i="3"/>
  <c r="I14" i="8" s="1"/>
  <c r="G23" i="3"/>
  <c r="H14" i="8" s="1"/>
  <c r="G22" i="3"/>
  <c r="H13" i="8" s="1"/>
  <c r="H21" i="3"/>
  <c r="I12" i="8" s="1"/>
  <c r="G21" i="3"/>
  <c r="H12" i="8" s="1"/>
  <c r="H20" i="3"/>
  <c r="I11" i="8" s="1"/>
  <c r="G20" i="3"/>
  <c r="H11" i="8" s="1"/>
  <c r="H19" i="3"/>
  <c r="I10" i="8" s="1"/>
  <c r="G19" i="3"/>
  <c r="H10" i="8" s="1"/>
  <c r="AA131" i="13" l="1"/>
  <c r="AA170" i="13"/>
  <c r="Z170" i="13"/>
  <c r="AA194" i="13"/>
  <c r="Z131" i="13"/>
  <c r="AB131" i="13"/>
  <c r="AB170" i="13"/>
  <c r="Z194" i="13"/>
  <c r="BR94" i="13"/>
  <c r="BS94" i="13"/>
  <c r="BT94" i="13"/>
  <c r="AB194" i="13"/>
  <c r="R14" i="8"/>
  <c r="AG14" i="8" s="1"/>
  <c r="R13" i="8"/>
  <c r="AG13" i="8" s="1"/>
  <c r="R12" i="8"/>
  <c r="AG12" i="8" s="1"/>
  <c r="R11" i="8"/>
  <c r="AG11" i="8" s="1"/>
  <c r="R10" i="8"/>
  <c r="AG10" i="8" s="1"/>
  <c r="CB94" i="13"/>
  <c r="CC94" i="13"/>
  <c r="BZ94" i="13"/>
  <c r="CA94" i="13"/>
  <c r="AI187" i="13"/>
  <c r="AI163" i="13"/>
  <c r="AI137" i="13"/>
  <c r="AJ137" i="13"/>
  <c r="AJ187" i="13"/>
  <c r="AI247" i="13"/>
  <c r="AH248" i="13"/>
  <c r="AJ119" i="13"/>
  <c r="AK137" i="13"/>
  <c r="AH163" i="13"/>
  <c r="AJ163" i="13"/>
  <c r="AK187" i="13"/>
  <c r="AH137" i="13"/>
  <c r="AI119" i="13"/>
  <c r="AK163" i="13"/>
  <c r="AH119" i="13"/>
  <c r="AH187" i="13"/>
  <c r="AK119" i="13"/>
  <c r="AJ247" i="13"/>
  <c r="BV94" i="13"/>
  <c r="CD94" i="13"/>
  <c r="CH94" i="13"/>
  <c r="CF94" i="13"/>
  <c r="BU94" i="13"/>
  <c r="CG94" i="13"/>
  <c r="BW94" i="13"/>
  <c r="CE94" i="13"/>
  <c r="CI94" i="13"/>
  <c r="BX94" i="13"/>
  <c r="CJ94" i="13"/>
  <c r="BY94" i="13"/>
  <c r="AM185" i="13"/>
  <c r="AP61" i="13" s="1"/>
  <c r="CG61" i="13" s="1"/>
  <c r="EA61" i="13" s="1"/>
  <c r="AG185" i="13"/>
  <c r="AJ61" i="13" s="1"/>
  <c r="CA61" i="13" s="1"/>
  <c r="DU61" i="13" s="1"/>
  <c r="AD161" i="13"/>
  <c r="AP161" i="13"/>
  <c r="AC185" i="13"/>
  <c r="AF61" i="13" s="1"/>
  <c r="BW61" i="13" s="1"/>
  <c r="DQ61" i="13" s="1"/>
  <c r="AN139" i="13"/>
  <c r="AM139" i="13"/>
  <c r="AM161" i="13"/>
  <c r="AL162" i="13"/>
  <c r="AE245" i="13"/>
  <c r="AH67" i="13" s="1"/>
  <c r="BY67" i="13" s="1"/>
  <c r="DS67" i="13" s="1"/>
  <c r="AO245" i="13"/>
  <c r="AR67" i="13" s="1"/>
  <c r="CI67" i="13" s="1"/>
  <c r="EC67" i="13" s="1"/>
  <c r="AD185" i="13"/>
  <c r="AG61" i="13" s="1"/>
  <c r="BX61" i="13" s="1"/>
  <c r="DR61" i="13" s="1"/>
  <c r="AE161" i="13"/>
  <c r="AQ161" i="13"/>
  <c r="AF161" i="13"/>
  <c r="AP185" i="13"/>
  <c r="AS61" i="13" s="1"/>
  <c r="CJ61" i="13" s="1"/>
  <c r="ED61" i="13" s="1"/>
  <c r="AO185" i="13"/>
  <c r="AR61" i="13" s="1"/>
  <c r="CI61" i="13" s="1"/>
  <c r="EC61" i="13" s="1"/>
  <c r="AF245" i="13"/>
  <c r="AI67" i="13" s="1"/>
  <c r="BZ67" i="13" s="1"/>
  <c r="DT67" i="13" s="1"/>
  <c r="AL185" i="13"/>
  <c r="AO61" i="13" s="1"/>
  <c r="CF61" i="13" s="1"/>
  <c r="DZ61" i="13" s="1"/>
  <c r="AM246" i="13"/>
  <c r="AC246" i="13"/>
  <c r="AC161" i="13"/>
  <c r="AO161" i="13"/>
  <c r="AG161" i="13"/>
  <c r="AO139" i="13"/>
  <c r="AQ185" i="13"/>
  <c r="AT61" i="13" s="1"/>
  <c r="CK61" i="13" s="1"/>
  <c r="EE61" i="13" s="1"/>
  <c r="AG246" i="13"/>
  <c r="AP245" i="13"/>
  <c r="AS67" i="13" s="1"/>
  <c r="CJ67" i="13" s="1"/>
  <c r="ED67" i="13" s="1"/>
  <c r="AD246" i="13"/>
  <c r="AE185" i="13"/>
  <c r="AH61" i="13" s="1"/>
  <c r="BY61" i="13" s="1"/>
  <c r="DS61" i="13" s="1"/>
  <c r="AN245" i="13"/>
  <c r="AQ67" i="13" s="1"/>
  <c r="CH67" i="13" s="1"/>
  <c r="EB67" i="13" s="1"/>
  <c r="AN186" i="13"/>
  <c r="AL245" i="13"/>
  <c r="AO67" i="13" s="1"/>
  <c r="CF67" i="13" s="1"/>
  <c r="DZ67" i="13" s="1"/>
  <c r="AQ247" i="13"/>
  <c r="AQ139" i="13"/>
  <c r="AP139" i="13"/>
  <c r="AN161" i="13"/>
  <c r="AF185" i="13"/>
  <c r="AI61" i="13" s="1"/>
  <c r="BZ61" i="13" s="1"/>
  <c r="DT61" i="13" s="1"/>
  <c r="AL139" i="13"/>
  <c r="U184" i="13"/>
  <c r="R160" i="13"/>
  <c r="C160" i="13"/>
  <c r="J184" i="13"/>
  <c r="G141" i="13"/>
  <c r="C184" i="13"/>
  <c r="E184" i="13"/>
  <c r="D160" i="13"/>
  <c r="M141" i="13"/>
  <c r="X160" i="13"/>
  <c r="S184" i="13"/>
  <c r="T160" i="13"/>
  <c r="AV94" i="13"/>
  <c r="AZ94" i="13"/>
  <c r="BD94" i="13"/>
  <c r="BH94" i="13"/>
  <c r="BL94" i="13"/>
  <c r="BP94" i="13"/>
  <c r="AW94" i="13"/>
  <c r="BB94" i="13"/>
  <c r="BG94" i="13"/>
  <c r="BM94" i="13"/>
  <c r="AX94" i="13"/>
  <c r="BE94" i="13"/>
  <c r="BK94" i="13"/>
  <c r="AY94" i="13"/>
  <c r="BI94" i="13"/>
  <c r="BQ94" i="13"/>
  <c r="AU94" i="13"/>
  <c r="BJ94" i="13"/>
  <c r="BA94" i="13"/>
  <c r="BN94" i="13"/>
  <c r="BC94" i="13"/>
  <c r="BF94" i="13"/>
  <c r="BO94" i="13"/>
  <c r="AT94" i="13"/>
  <c r="Q160" i="13"/>
  <c r="D141" i="13"/>
  <c r="I160" i="13"/>
  <c r="L184" i="13"/>
  <c r="G160" i="13"/>
  <c r="F141" i="13"/>
  <c r="B160" i="13"/>
  <c r="V160" i="13"/>
  <c r="B184" i="13"/>
  <c r="N184" i="13"/>
  <c r="S160" i="13"/>
  <c r="X141" i="13"/>
  <c r="R184" i="13"/>
  <c r="H160" i="13"/>
  <c r="B141" i="13"/>
  <c r="F160" i="13"/>
  <c r="H141" i="13"/>
  <c r="K184" i="13"/>
  <c r="I141" i="13"/>
  <c r="J141" i="13"/>
  <c r="H184" i="13"/>
  <c r="C141" i="13"/>
  <c r="U160" i="13"/>
  <c r="E160" i="13"/>
  <c r="K141" i="13"/>
  <c r="F184" i="13"/>
  <c r="K160" i="13"/>
  <c r="O184" i="13"/>
  <c r="E141" i="13"/>
  <c r="M184" i="13"/>
  <c r="T184" i="13"/>
  <c r="O160" i="13"/>
  <c r="W160" i="13"/>
  <c r="L141" i="13"/>
  <c r="J160" i="13"/>
  <c r="P184" i="13"/>
  <c r="X184" i="13"/>
  <c r="V184" i="13"/>
  <c r="L160" i="13"/>
  <c r="G184" i="13"/>
  <c r="A96" i="13"/>
  <c r="AS95" i="13"/>
  <c r="W184" i="13"/>
  <c r="I184" i="13"/>
  <c r="D184" i="13"/>
  <c r="M160" i="13"/>
  <c r="Q184" i="13"/>
  <c r="N160" i="13"/>
  <c r="P160" i="13"/>
  <c r="AF14" i="8"/>
  <c r="AE14" i="8"/>
  <c r="AH14" i="8" s="1"/>
  <c r="AF12" i="8"/>
  <c r="AE10" i="8"/>
  <c r="AH10" i="8" s="1"/>
  <c r="AF10" i="8"/>
  <c r="AF13" i="8"/>
  <c r="AE13" i="8"/>
  <c r="AJ13" i="8" s="1"/>
  <c r="AE11" i="8"/>
  <c r="AO11" i="8" s="1"/>
  <c r="AF11" i="8"/>
  <c r="AF3" i="10"/>
  <c r="AF4" i="10"/>
  <c r="AE4" i="10"/>
  <c r="AN4" i="10" s="1"/>
  <c r="Z195" i="13" l="1"/>
  <c r="AB130" i="13"/>
  <c r="AA195" i="13"/>
  <c r="AA171" i="13"/>
  <c r="BS95" i="13"/>
  <c r="BT95" i="13"/>
  <c r="BR95" i="13"/>
  <c r="AB195" i="13"/>
  <c r="AB171" i="13"/>
  <c r="Z130" i="13"/>
  <c r="Z171" i="13"/>
  <c r="AA130" i="13"/>
  <c r="CB95" i="13"/>
  <c r="CC95" i="13"/>
  <c r="BZ95" i="13"/>
  <c r="CA95" i="13"/>
  <c r="AH118" i="13"/>
  <c r="AK188" i="13"/>
  <c r="AJ118" i="13"/>
  <c r="AJ136" i="13"/>
  <c r="AK118" i="13"/>
  <c r="AI118" i="13"/>
  <c r="AH164" i="13"/>
  <c r="AI248" i="13"/>
  <c r="AI164" i="13"/>
  <c r="AJ248" i="13"/>
  <c r="AH188" i="13"/>
  <c r="AK164" i="13"/>
  <c r="AH136" i="13"/>
  <c r="AJ164" i="13"/>
  <c r="AK136" i="13"/>
  <c r="AH249" i="13"/>
  <c r="AJ188" i="13"/>
  <c r="AI136" i="13"/>
  <c r="AI188" i="13"/>
  <c r="BV95" i="13"/>
  <c r="CD95" i="13"/>
  <c r="CH95" i="13"/>
  <c r="BX95" i="13"/>
  <c r="CJ95" i="13"/>
  <c r="BY95" i="13"/>
  <c r="BW95" i="13"/>
  <c r="CE95" i="13"/>
  <c r="CI95" i="13"/>
  <c r="CF95" i="13"/>
  <c r="BU95" i="13"/>
  <c r="CG95" i="13"/>
  <c r="AN162" i="13"/>
  <c r="AP246" i="13"/>
  <c r="AO138" i="13"/>
  <c r="AG162" i="13"/>
  <c r="AD186" i="13"/>
  <c r="AM162" i="13"/>
  <c r="AC186" i="13"/>
  <c r="AD162" i="13"/>
  <c r="AF246" i="13"/>
  <c r="AP186" i="13"/>
  <c r="AL138" i="13"/>
  <c r="AF186" i="13"/>
  <c r="AP138" i="13"/>
  <c r="AQ248" i="13"/>
  <c r="AE186" i="13"/>
  <c r="AD247" i="13"/>
  <c r="AQ186" i="13"/>
  <c r="AO162" i="13"/>
  <c r="AQ162" i="13"/>
  <c r="AE162" i="13"/>
  <c r="AO246" i="13"/>
  <c r="AL163" i="13"/>
  <c r="AN138" i="13"/>
  <c r="AP162" i="13"/>
  <c r="AG186" i="13"/>
  <c r="AQ138" i="13"/>
  <c r="AN246" i="13"/>
  <c r="AG247" i="13"/>
  <c r="AF162" i="13"/>
  <c r="AE246" i="13"/>
  <c r="AM138" i="13"/>
  <c r="AM186" i="13"/>
  <c r="AN187" i="13"/>
  <c r="AM247" i="13"/>
  <c r="AL246" i="13"/>
  <c r="AC162" i="13"/>
  <c r="AC247" i="13"/>
  <c r="AL186" i="13"/>
  <c r="AO186" i="13"/>
  <c r="N161" i="13"/>
  <c r="I185" i="13"/>
  <c r="G185" i="13"/>
  <c r="L140" i="13"/>
  <c r="O185" i="13"/>
  <c r="F185" i="13"/>
  <c r="U161" i="13"/>
  <c r="I140" i="13"/>
  <c r="F161" i="13"/>
  <c r="X140" i="13"/>
  <c r="B185" i="13"/>
  <c r="D140" i="13"/>
  <c r="R161" i="13"/>
  <c r="AW95" i="13"/>
  <c r="BA95" i="13"/>
  <c r="BE95" i="13"/>
  <c r="BI95" i="13"/>
  <c r="BM95" i="13"/>
  <c r="BQ95" i="13"/>
  <c r="AU95" i="13"/>
  <c r="AZ95" i="13"/>
  <c r="BF95" i="13"/>
  <c r="BK95" i="13"/>
  <c r="BP95" i="13"/>
  <c r="AV95" i="13"/>
  <c r="BC95" i="13"/>
  <c r="BJ95" i="13"/>
  <c r="BD95" i="13"/>
  <c r="BN95" i="13"/>
  <c r="AY95" i="13"/>
  <c r="BL95" i="13"/>
  <c r="AT95" i="13"/>
  <c r="BB95" i="13"/>
  <c r="BO95" i="13"/>
  <c r="BG95" i="13"/>
  <c r="BH95" i="13"/>
  <c r="AX95" i="13"/>
  <c r="M161" i="13"/>
  <c r="W185" i="13"/>
  <c r="V185" i="13"/>
  <c r="P185" i="13"/>
  <c r="O161" i="13"/>
  <c r="M185" i="13"/>
  <c r="K140" i="13"/>
  <c r="H185" i="13"/>
  <c r="H140" i="13"/>
  <c r="H161" i="13"/>
  <c r="S161" i="13"/>
  <c r="B161" i="13"/>
  <c r="L185" i="13"/>
  <c r="T161" i="13"/>
  <c r="X161" i="13"/>
  <c r="D161" i="13"/>
  <c r="C185" i="13"/>
  <c r="J185" i="13"/>
  <c r="P161" i="13"/>
  <c r="Q185" i="13"/>
  <c r="D185" i="13"/>
  <c r="A97" i="13"/>
  <c r="AS96" i="13"/>
  <c r="L161" i="13"/>
  <c r="X185" i="13"/>
  <c r="J161" i="13"/>
  <c r="W161" i="13"/>
  <c r="T185" i="13"/>
  <c r="E140" i="13"/>
  <c r="K161" i="13"/>
  <c r="E161" i="13"/>
  <c r="C140" i="13"/>
  <c r="J140" i="13"/>
  <c r="K185" i="13"/>
  <c r="B140" i="13"/>
  <c r="R185" i="13"/>
  <c r="N185" i="13"/>
  <c r="V161" i="13"/>
  <c r="F140" i="13"/>
  <c r="G161" i="13"/>
  <c r="I161" i="13"/>
  <c r="Q161" i="13"/>
  <c r="S185" i="13"/>
  <c r="M140" i="13"/>
  <c r="E185" i="13"/>
  <c r="G140" i="13"/>
  <c r="C161" i="13"/>
  <c r="U185" i="13"/>
  <c r="AI10" i="8"/>
  <c r="AI13" i="8"/>
  <c r="AO14" i="8"/>
  <c r="AR10" i="8"/>
  <c r="AL10" i="8"/>
  <c r="AR14" i="8"/>
  <c r="AN13" i="8"/>
  <c r="AK13" i="8"/>
  <c r="AO13" i="8"/>
  <c r="AM13" i="8"/>
  <c r="AS10" i="8"/>
  <c r="AM14" i="8"/>
  <c r="AJ10" i="8"/>
  <c r="AN10" i="8"/>
  <c r="AK14" i="8"/>
  <c r="AJ11" i="8"/>
  <c r="AM11" i="8"/>
  <c r="AS11" i="8"/>
  <c r="AN11" i="8"/>
  <c r="AR13" i="8"/>
  <c r="AL13" i="8"/>
  <c r="AM10" i="8"/>
  <c r="AS13" i="8"/>
  <c r="AH13" i="8"/>
  <c r="AK10" i="8"/>
  <c r="AS14" i="8"/>
  <c r="AH11" i="8"/>
  <c r="AR11" i="8"/>
  <c r="AL14" i="8"/>
  <c r="AN14" i="8"/>
  <c r="AK11" i="8"/>
  <c r="AI14" i="8"/>
  <c r="AJ14" i="8"/>
  <c r="AO10" i="8"/>
  <c r="AI11" i="8"/>
  <c r="AL11" i="8"/>
  <c r="AI4" i="10"/>
  <c r="AR4" i="10"/>
  <c r="AM4" i="10"/>
  <c r="AH4" i="10"/>
  <c r="AJ4" i="10"/>
  <c r="AS4" i="10"/>
  <c r="AO4" i="10"/>
  <c r="P32" i="10"/>
  <c r="O32" i="10"/>
  <c r="N32" i="10"/>
  <c r="AQ32" i="10" s="1"/>
  <c r="M32" i="10"/>
  <c r="AP32" i="10" s="1"/>
  <c r="L32" i="10"/>
  <c r="K32" i="10"/>
  <c r="J32" i="10"/>
  <c r="G32" i="10"/>
  <c r="F32" i="10"/>
  <c r="E32" i="10"/>
  <c r="D32" i="10"/>
  <c r="R32" i="10" s="1"/>
  <c r="AG32" i="10" s="1"/>
  <c r="C32" i="10"/>
  <c r="Q32" i="10" s="1"/>
  <c r="B32" i="10"/>
  <c r="P31" i="10"/>
  <c r="O31" i="10"/>
  <c r="N31" i="10"/>
  <c r="AQ31" i="10" s="1"/>
  <c r="M31" i="10"/>
  <c r="AP31" i="10" s="1"/>
  <c r="L31" i="10"/>
  <c r="K31" i="10"/>
  <c r="J31" i="10"/>
  <c r="G31" i="10"/>
  <c r="F31" i="10"/>
  <c r="E31" i="10"/>
  <c r="D31" i="10"/>
  <c r="R31" i="10" s="1"/>
  <c r="AG31" i="10" s="1"/>
  <c r="C31" i="10"/>
  <c r="Q31" i="10" s="1"/>
  <c r="B31" i="10"/>
  <c r="P30" i="10"/>
  <c r="O30" i="10"/>
  <c r="N30" i="10"/>
  <c r="AQ30" i="10" s="1"/>
  <c r="M30" i="10"/>
  <c r="AP30" i="10" s="1"/>
  <c r="L30" i="10"/>
  <c r="K30" i="10"/>
  <c r="J30" i="10"/>
  <c r="G30" i="10"/>
  <c r="F30" i="10"/>
  <c r="E30" i="10"/>
  <c r="D30" i="10"/>
  <c r="R30" i="10" s="1"/>
  <c r="AG30" i="10" s="1"/>
  <c r="C30" i="10"/>
  <c r="Q30" i="10" s="1"/>
  <c r="B30" i="10"/>
  <c r="AQ17" i="10"/>
  <c r="AP17" i="10"/>
  <c r="R17" i="10"/>
  <c r="AG17" i="10" s="1"/>
  <c r="Q17" i="10"/>
  <c r="AQ16" i="10"/>
  <c r="AP16" i="10"/>
  <c r="R16" i="10"/>
  <c r="AG16" i="10" s="1"/>
  <c r="Q16" i="10"/>
  <c r="AQ15" i="10"/>
  <c r="AP15" i="10"/>
  <c r="R15" i="10"/>
  <c r="AG15" i="10" s="1"/>
  <c r="Q15" i="10"/>
  <c r="AQ14" i="10"/>
  <c r="AP14" i="10"/>
  <c r="R14" i="10"/>
  <c r="AG14" i="10" s="1"/>
  <c r="Q14" i="10"/>
  <c r="AQ13" i="10"/>
  <c r="AP13" i="10"/>
  <c r="R13" i="10"/>
  <c r="AG13" i="10" s="1"/>
  <c r="Q13" i="10"/>
  <c r="AQ12" i="10"/>
  <c r="AP12" i="10"/>
  <c r="R12" i="10"/>
  <c r="AG12" i="10" s="1"/>
  <c r="Q12" i="10"/>
  <c r="P6" i="10"/>
  <c r="O6" i="10"/>
  <c r="N6" i="10"/>
  <c r="AQ6" i="10" s="1"/>
  <c r="M6" i="10"/>
  <c r="AP6" i="10" s="1"/>
  <c r="L6" i="10"/>
  <c r="K6" i="10"/>
  <c r="J6" i="10"/>
  <c r="G6" i="10"/>
  <c r="F6" i="10"/>
  <c r="E6" i="10"/>
  <c r="D6" i="10"/>
  <c r="R6" i="10" s="1"/>
  <c r="AG6" i="10" s="1"/>
  <c r="C6" i="10"/>
  <c r="Q6" i="10" s="1"/>
  <c r="B6" i="10"/>
  <c r="P5" i="10"/>
  <c r="O5" i="10"/>
  <c r="N5" i="10"/>
  <c r="AQ5" i="10" s="1"/>
  <c r="M5" i="10"/>
  <c r="AP5" i="10" s="1"/>
  <c r="L5" i="10"/>
  <c r="K5" i="10"/>
  <c r="J5" i="10"/>
  <c r="G5" i="10"/>
  <c r="F5" i="10"/>
  <c r="E5" i="10"/>
  <c r="D5" i="10"/>
  <c r="R5" i="10" s="1"/>
  <c r="AG5" i="10" s="1"/>
  <c r="C5" i="10"/>
  <c r="Q5" i="10" s="1"/>
  <c r="B5" i="10"/>
  <c r="O21" i="8"/>
  <c r="B3" i="8"/>
  <c r="C3" i="8"/>
  <c r="Q3" i="8" s="1"/>
  <c r="D3" i="8"/>
  <c r="E3" i="8"/>
  <c r="F3" i="8"/>
  <c r="G3" i="8"/>
  <c r="J3" i="8"/>
  <c r="K3" i="8"/>
  <c r="L3" i="8"/>
  <c r="M3" i="8"/>
  <c r="AP3" i="8" s="1"/>
  <c r="N3" i="8"/>
  <c r="AQ3" i="8" s="1"/>
  <c r="O3" i="8"/>
  <c r="P3" i="8"/>
  <c r="B4" i="8"/>
  <c r="C4" i="8"/>
  <c r="Q4" i="8" s="1"/>
  <c r="D4" i="8"/>
  <c r="E4" i="8"/>
  <c r="F4" i="8"/>
  <c r="G4" i="8"/>
  <c r="J4" i="8"/>
  <c r="K4" i="8"/>
  <c r="L4" i="8"/>
  <c r="M4" i="8"/>
  <c r="AP4" i="8" s="1"/>
  <c r="N4" i="8"/>
  <c r="AQ4" i="8" s="1"/>
  <c r="O4" i="8"/>
  <c r="P4" i="8"/>
  <c r="B5" i="8"/>
  <c r="C5" i="8"/>
  <c r="Q5" i="8" s="1"/>
  <c r="D5" i="8"/>
  <c r="E5" i="8"/>
  <c r="F5" i="8"/>
  <c r="G5" i="8"/>
  <c r="J5" i="8"/>
  <c r="K5" i="8"/>
  <c r="L5" i="8"/>
  <c r="M5" i="8"/>
  <c r="AP5" i="8" s="1"/>
  <c r="N5" i="8"/>
  <c r="AQ5" i="8" s="1"/>
  <c r="O5" i="8"/>
  <c r="P5" i="8"/>
  <c r="B6" i="8"/>
  <c r="C6" i="8"/>
  <c r="Q6" i="8" s="1"/>
  <c r="D6" i="8"/>
  <c r="E6" i="8"/>
  <c r="F6" i="8"/>
  <c r="G6" i="8"/>
  <c r="J6" i="8"/>
  <c r="K6" i="8"/>
  <c r="L6" i="8"/>
  <c r="M6" i="8"/>
  <c r="AP6" i="8" s="1"/>
  <c r="N6" i="8"/>
  <c r="AQ6" i="8" s="1"/>
  <c r="O6" i="8"/>
  <c r="P6" i="8"/>
  <c r="B7" i="8"/>
  <c r="C7" i="8"/>
  <c r="Q7" i="8" s="1"/>
  <c r="D7" i="8"/>
  <c r="E7" i="8"/>
  <c r="F7" i="8"/>
  <c r="G7" i="8"/>
  <c r="J7" i="8"/>
  <c r="K7" i="8"/>
  <c r="L7" i="8"/>
  <c r="M7" i="8"/>
  <c r="AP7" i="8" s="1"/>
  <c r="N7" i="8"/>
  <c r="AQ7" i="8" s="1"/>
  <c r="O7" i="8"/>
  <c r="P7" i="8"/>
  <c r="B8" i="8"/>
  <c r="C8" i="8"/>
  <c r="Q8" i="8" s="1"/>
  <c r="D8" i="8"/>
  <c r="E8" i="8"/>
  <c r="F8" i="8"/>
  <c r="G8" i="8"/>
  <c r="J8" i="8"/>
  <c r="K8" i="8"/>
  <c r="L8" i="8"/>
  <c r="M8" i="8"/>
  <c r="AP8" i="8" s="1"/>
  <c r="N8" i="8"/>
  <c r="AQ8" i="8" s="1"/>
  <c r="O8" i="8"/>
  <c r="P8" i="8"/>
  <c r="B9" i="8"/>
  <c r="C9" i="8"/>
  <c r="Q9" i="8" s="1"/>
  <c r="D9" i="8"/>
  <c r="E9" i="8"/>
  <c r="F9" i="8"/>
  <c r="G9" i="8"/>
  <c r="J9" i="8"/>
  <c r="K9" i="8"/>
  <c r="L9" i="8"/>
  <c r="M9" i="8"/>
  <c r="AP9" i="8" s="1"/>
  <c r="N9" i="8"/>
  <c r="AQ9" i="8" s="1"/>
  <c r="O9" i="8"/>
  <c r="P9" i="8"/>
  <c r="B15" i="8"/>
  <c r="C15" i="8"/>
  <c r="Q15" i="8" s="1"/>
  <c r="D15" i="8"/>
  <c r="E15" i="8"/>
  <c r="F15" i="8"/>
  <c r="G15" i="8"/>
  <c r="J15" i="8"/>
  <c r="K15" i="8"/>
  <c r="L15" i="8"/>
  <c r="O15" i="8"/>
  <c r="P15" i="8"/>
  <c r="B18" i="8"/>
  <c r="C18" i="8"/>
  <c r="Q18" i="8" s="1"/>
  <c r="D18" i="8"/>
  <c r="E18" i="8"/>
  <c r="F18" i="8"/>
  <c r="G18" i="8"/>
  <c r="J18" i="8"/>
  <c r="K18" i="8"/>
  <c r="L18" i="8"/>
  <c r="O18" i="8"/>
  <c r="P18" i="8"/>
  <c r="B21" i="8"/>
  <c r="C21" i="8"/>
  <c r="Q21" i="8" s="1"/>
  <c r="D21" i="8"/>
  <c r="E21" i="8"/>
  <c r="F21" i="8"/>
  <c r="G21" i="8"/>
  <c r="J21" i="8"/>
  <c r="K21" i="8"/>
  <c r="L21" i="8"/>
  <c r="P21" i="8"/>
  <c r="B24" i="8"/>
  <c r="C24" i="8"/>
  <c r="Q24" i="8" s="1"/>
  <c r="D24" i="8"/>
  <c r="E24" i="8"/>
  <c r="S24" i="8" s="1"/>
  <c r="F24" i="8"/>
  <c r="T24" i="8" s="1"/>
  <c r="G24" i="8"/>
  <c r="U24" i="8" s="1"/>
  <c r="J24" i="8"/>
  <c r="X24" i="8" s="1"/>
  <c r="K24" i="8"/>
  <c r="Y24" i="8" s="1"/>
  <c r="L24" i="8"/>
  <c r="Z24" i="8" s="1"/>
  <c r="O24" i="8"/>
  <c r="AC24" i="8" s="1"/>
  <c r="P24" i="8"/>
  <c r="AD24" i="8" s="1"/>
  <c r="B27" i="8"/>
  <c r="C27" i="8"/>
  <c r="Q27" i="8" s="1"/>
  <c r="D27" i="8"/>
  <c r="E27" i="8"/>
  <c r="F27" i="8"/>
  <c r="G27" i="8"/>
  <c r="J27" i="8"/>
  <c r="K27" i="8"/>
  <c r="L27" i="8"/>
  <c r="O27" i="8"/>
  <c r="P27" i="8"/>
  <c r="C30" i="8"/>
  <c r="D30" i="8"/>
  <c r="E30" i="8"/>
  <c r="F30" i="8"/>
  <c r="G30" i="8"/>
  <c r="J30" i="8"/>
  <c r="K30" i="8"/>
  <c r="L30" i="8"/>
  <c r="O30" i="8"/>
  <c r="P30" i="8"/>
  <c r="H82" i="3"/>
  <c r="I32" i="10" s="1"/>
  <c r="G82" i="3"/>
  <c r="H32" i="10" s="1"/>
  <c r="BT96" i="13" l="1"/>
  <c r="BR96" i="13"/>
  <c r="BS96" i="13"/>
  <c r="AA172" i="13"/>
  <c r="AB129" i="13"/>
  <c r="AA129" i="13"/>
  <c r="Z172" i="13"/>
  <c r="AB172" i="13"/>
  <c r="Z129" i="13"/>
  <c r="AB196" i="13"/>
  <c r="AW62" i="13"/>
  <c r="CN62" i="13" s="1"/>
  <c r="EH62" i="13" s="1"/>
  <c r="AA196" i="13"/>
  <c r="AV62" i="13"/>
  <c r="CM62" i="13" s="1"/>
  <c r="EG62" i="13" s="1"/>
  <c r="Z196" i="13"/>
  <c r="AU62" i="13"/>
  <c r="CL62" i="13" s="1"/>
  <c r="EF62" i="13" s="1"/>
  <c r="Q30" i="8"/>
  <c r="AF30" i="8" s="1"/>
  <c r="R27" i="8"/>
  <c r="AG27" i="8" s="1"/>
  <c r="R18" i="8"/>
  <c r="AG18" i="8" s="1"/>
  <c r="R9" i="8"/>
  <c r="AG9" i="8" s="1"/>
  <c r="R5" i="8"/>
  <c r="AG5" i="8" s="1"/>
  <c r="R30" i="8"/>
  <c r="AG30" i="8" s="1"/>
  <c r="R21" i="8"/>
  <c r="AG21" i="8" s="1"/>
  <c r="R8" i="8"/>
  <c r="AG8" i="8" s="1"/>
  <c r="R4" i="8"/>
  <c r="AG4" i="8" s="1"/>
  <c r="R7" i="8"/>
  <c r="AG7" i="8" s="1"/>
  <c r="R3" i="8"/>
  <c r="AG3" i="8" s="1"/>
  <c r="R24" i="8"/>
  <c r="AG24" i="8" s="1"/>
  <c r="R15" i="8"/>
  <c r="AG15" i="8" s="1"/>
  <c r="R6" i="8"/>
  <c r="AG6" i="8" s="1"/>
  <c r="CB96" i="13"/>
  <c r="CC96" i="13"/>
  <c r="BZ96" i="13"/>
  <c r="CA96" i="13"/>
  <c r="AH250" i="13"/>
  <c r="AK165" i="13"/>
  <c r="AN59" i="13" s="1"/>
  <c r="CE59" i="13" s="1"/>
  <c r="DY59" i="13" s="1"/>
  <c r="AI249" i="13"/>
  <c r="AK189" i="13"/>
  <c r="AI135" i="13"/>
  <c r="AL56" i="13" s="1"/>
  <c r="CC56" i="13" s="1"/>
  <c r="AJ165" i="13"/>
  <c r="AM59" i="13" s="1"/>
  <c r="CD59" i="13" s="1"/>
  <c r="DX59" i="13" s="1"/>
  <c r="AJ249" i="13"/>
  <c r="AI117" i="13"/>
  <c r="AJ135" i="13"/>
  <c r="AM56" i="13" s="1"/>
  <c r="CD56" i="13" s="1"/>
  <c r="AI189" i="13"/>
  <c r="AJ189" i="13"/>
  <c r="AK135" i="13"/>
  <c r="AN56" i="13" s="1"/>
  <c r="CE56" i="13" s="1"/>
  <c r="AH135" i="13"/>
  <c r="AK56" i="13" s="1"/>
  <c r="CB56" i="13" s="1"/>
  <c r="AH189" i="13"/>
  <c r="AI165" i="13"/>
  <c r="AL59" i="13" s="1"/>
  <c r="CC59" i="13" s="1"/>
  <c r="DW59" i="13" s="1"/>
  <c r="AH165" i="13"/>
  <c r="AK59" i="13" s="1"/>
  <c r="CB59" i="13" s="1"/>
  <c r="DV59" i="13" s="1"/>
  <c r="AK117" i="13"/>
  <c r="AJ117" i="13"/>
  <c r="AH117" i="13"/>
  <c r="BV96" i="13"/>
  <c r="CD96" i="13"/>
  <c r="CH96" i="13"/>
  <c r="CF96" i="13"/>
  <c r="BU96" i="13"/>
  <c r="CG96" i="13"/>
  <c r="BW96" i="13"/>
  <c r="CE96" i="13"/>
  <c r="CI96" i="13"/>
  <c r="BX96" i="13"/>
  <c r="CJ96" i="13"/>
  <c r="BY96" i="13"/>
  <c r="AO187" i="13"/>
  <c r="AC248" i="13"/>
  <c r="AM187" i="13"/>
  <c r="AF163" i="13"/>
  <c r="AQ163" i="13"/>
  <c r="AQ187" i="13"/>
  <c r="AQ249" i="13"/>
  <c r="AF187" i="13"/>
  <c r="AD163" i="13"/>
  <c r="AM163" i="13"/>
  <c r="AL187" i="13"/>
  <c r="AC163" i="13"/>
  <c r="AL247" i="13"/>
  <c r="AM248" i="13"/>
  <c r="AN188" i="13"/>
  <c r="AM137" i="13"/>
  <c r="AG248" i="13"/>
  <c r="AQ137" i="13"/>
  <c r="AG187" i="13"/>
  <c r="AN137" i="13"/>
  <c r="AL164" i="13"/>
  <c r="AE163" i="13"/>
  <c r="AE187" i="13"/>
  <c r="AP137" i="13"/>
  <c r="AL137" i="13"/>
  <c r="AG163" i="13"/>
  <c r="AP247" i="13"/>
  <c r="AN163" i="13"/>
  <c r="AE247" i="13"/>
  <c r="AN247" i="13"/>
  <c r="AP163" i="13"/>
  <c r="AO247" i="13"/>
  <c r="AO163" i="13"/>
  <c r="AD248" i="13"/>
  <c r="AO137" i="13"/>
  <c r="AP187" i="13"/>
  <c r="AF247" i="13"/>
  <c r="AC187" i="13"/>
  <c r="AD187" i="13"/>
  <c r="AB61" i="13"/>
  <c r="U186" i="13"/>
  <c r="M139" i="13"/>
  <c r="V162" i="13"/>
  <c r="B139" i="13"/>
  <c r="C139" i="13"/>
  <c r="E139" i="13"/>
  <c r="AE61" i="13"/>
  <c r="X186" i="13"/>
  <c r="D186" i="13"/>
  <c r="K61" i="13"/>
  <c r="X162" i="13"/>
  <c r="H139" i="13"/>
  <c r="P61" i="13"/>
  <c r="I186" i="13"/>
  <c r="AX96" i="13"/>
  <c r="BB96" i="13"/>
  <c r="BF96" i="13"/>
  <c r="BJ96" i="13"/>
  <c r="BN96" i="13"/>
  <c r="AY96" i="13"/>
  <c r="BD96" i="13"/>
  <c r="BI96" i="13"/>
  <c r="BO96" i="13"/>
  <c r="AU96" i="13"/>
  <c r="BA96" i="13"/>
  <c r="BH96" i="13"/>
  <c r="BP96" i="13"/>
  <c r="AZ96" i="13"/>
  <c r="BK96" i="13"/>
  <c r="BC96" i="13"/>
  <c r="BM96" i="13"/>
  <c r="BE96" i="13"/>
  <c r="BQ96" i="13"/>
  <c r="BG96" i="13"/>
  <c r="BL96" i="13"/>
  <c r="AV96" i="13"/>
  <c r="AT96" i="13"/>
  <c r="AW96" i="13"/>
  <c r="G139" i="13"/>
  <c r="Q162" i="13"/>
  <c r="G162" i="13"/>
  <c r="R61" i="13"/>
  <c r="K186" i="13"/>
  <c r="J162" i="13"/>
  <c r="A98" i="13"/>
  <c r="AS97" i="13"/>
  <c r="J61" i="13"/>
  <c r="C186" i="13"/>
  <c r="S61" i="13"/>
  <c r="L186" i="13"/>
  <c r="S162" i="13"/>
  <c r="K139" i="13"/>
  <c r="O162" i="13"/>
  <c r="AC61" i="13"/>
  <c r="V186" i="13"/>
  <c r="M162" i="13"/>
  <c r="R162" i="13"/>
  <c r="X139" i="13"/>
  <c r="I139" i="13"/>
  <c r="M61" i="13"/>
  <c r="F186" i="13"/>
  <c r="C162" i="13"/>
  <c r="L61" i="13"/>
  <c r="E186" i="13"/>
  <c r="S186" i="13"/>
  <c r="Z61" i="13"/>
  <c r="I162" i="13"/>
  <c r="F139" i="13"/>
  <c r="U61" i="13"/>
  <c r="N186" i="13"/>
  <c r="Y61" i="13"/>
  <c r="R186" i="13"/>
  <c r="J139" i="13"/>
  <c r="E162" i="13"/>
  <c r="K162" i="13"/>
  <c r="AA61" i="13"/>
  <c r="T186" i="13"/>
  <c r="W162" i="13"/>
  <c r="L162" i="13"/>
  <c r="Q186" i="13"/>
  <c r="X61" i="13"/>
  <c r="P162" i="13"/>
  <c r="J186" i="13"/>
  <c r="Q61" i="13"/>
  <c r="D162" i="13"/>
  <c r="T162" i="13"/>
  <c r="B162" i="13"/>
  <c r="H162" i="13"/>
  <c r="O61" i="13"/>
  <c r="H186" i="13"/>
  <c r="T61" i="13"/>
  <c r="M186" i="13"/>
  <c r="P186" i="13"/>
  <c r="W61" i="13"/>
  <c r="W186" i="13"/>
  <c r="AD61" i="13"/>
  <c r="D139" i="13"/>
  <c r="I61" i="13"/>
  <c r="B186" i="13"/>
  <c r="F162" i="13"/>
  <c r="U162" i="13"/>
  <c r="V61" i="13"/>
  <c r="O186" i="13"/>
  <c r="L139" i="13"/>
  <c r="G186" i="13"/>
  <c r="N61" i="13"/>
  <c r="N162" i="13"/>
  <c r="AF15" i="8"/>
  <c r="AE15" i="8"/>
  <c r="AO15" i="8" s="1"/>
  <c r="AE4" i="8"/>
  <c r="AH4" i="8" s="1"/>
  <c r="AF4" i="8"/>
  <c r="AE9" i="8"/>
  <c r="AJ9" i="8" s="1"/>
  <c r="AF9" i="8"/>
  <c r="AE8" i="8"/>
  <c r="AR8" i="8" s="1"/>
  <c r="AF8" i="8"/>
  <c r="AE18" i="8"/>
  <c r="AN18" i="8" s="1"/>
  <c r="AF18" i="8"/>
  <c r="AE27" i="8"/>
  <c r="AS27" i="8" s="1"/>
  <c r="AF27" i="8"/>
  <c r="AF24" i="8"/>
  <c r="AE5" i="8"/>
  <c r="AR5" i="8" s="1"/>
  <c r="AF5" i="8"/>
  <c r="AE21" i="8"/>
  <c r="AI21" i="8" s="1"/>
  <c r="AF21" i="8"/>
  <c r="AF6" i="8"/>
  <c r="AE6" i="8"/>
  <c r="AH6" i="8" s="1"/>
  <c r="AE7" i="8"/>
  <c r="AJ7" i="8" s="1"/>
  <c r="AF7" i="8"/>
  <c r="M73" i="3"/>
  <c r="E45" i="13" s="1"/>
  <c r="AR150" i="13" s="1"/>
  <c r="AF3" i="8"/>
  <c r="AE3" i="8"/>
  <c r="AS3" i="8" s="1"/>
  <c r="C73" i="3"/>
  <c r="C45" i="13" s="1"/>
  <c r="L73" i="3"/>
  <c r="D45" i="13" s="1"/>
  <c r="AR174" i="13" s="1"/>
  <c r="AF6" i="10"/>
  <c r="AE6" i="10"/>
  <c r="AJ6" i="10" s="1"/>
  <c r="AF5" i="10"/>
  <c r="AF17" i="10"/>
  <c r="AE13" i="10"/>
  <c r="AH13" i="10" s="1"/>
  <c r="AF13" i="10"/>
  <c r="AF12" i="10"/>
  <c r="AE12" i="10"/>
  <c r="AJ12" i="10" s="1"/>
  <c r="AF31" i="10"/>
  <c r="AE31" i="10"/>
  <c r="AJ31" i="10" s="1"/>
  <c r="AF32" i="10"/>
  <c r="AE32" i="10"/>
  <c r="AL32" i="10" s="1"/>
  <c r="AF15" i="10"/>
  <c r="AE15" i="10"/>
  <c r="AJ15" i="10" s="1"/>
  <c r="AE16" i="10"/>
  <c r="AJ16" i="10" s="1"/>
  <c r="AF16" i="10"/>
  <c r="AE14" i="10"/>
  <c r="AF14" i="10"/>
  <c r="AE30" i="10"/>
  <c r="AF30" i="10"/>
  <c r="AE20" i="10"/>
  <c r="B55" i="2"/>
  <c r="B56" i="2" s="1"/>
  <c r="B57" i="2" s="1"/>
  <c r="B58" i="2" s="1"/>
  <c r="B59" i="2" s="1"/>
  <c r="B60" i="2" s="1"/>
  <c r="B61" i="2" s="1"/>
  <c r="B62" i="2" s="1"/>
  <c r="N30" i="8"/>
  <c r="AQ30" i="8" s="1"/>
  <c r="M30" i="8"/>
  <c r="AP30" i="8" s="1"/>
  <c r="H39" i="3"/>
  <c r="G39" i="3"/>
  <c r="M36" i="3"/>
  <c r="N27" i="8" s="1"/>
  <c r="AQ27" i="8" s="1"/>
  <c r="H36" i="3"/>
  <c r="G36" i="3"/>
  <c r="M33" i="3"/>
  <c r="N24" i="8" s="1"/>
  <c r="M24" i="8"/>
  <c r="H33" i="3"/>
  <c r="G33" i="3"/>
  <c r="M30" i="3"/>
  <c r="N21" i="8" s="1"/>
  <c r="AQ21" i="8" s="1"/>
  <c r="M21" i="8"/>
  <c r="AP21" i="8" s="1"/>
  <c r="H30" i="3"/>
  <c r="G30" i="3"/>
  <c r="N18" i="8"/>
  <c r="AQ18" i="8" s="1"/>
  <c r="M18" i="8"/>
  <c r="AP18" i="8" s="1"/>
  <c r="H27" i="3"/>
  <c r="G27" i="3"/>
  <c r="M24" i="3"/>
  <c r="N15" i="8" s="1"/>
  <c r="AQ15" i="8" s="1"/>
  <c r="M15" i="8"/>
  <c r="AP15" i="8" s="1"/>
  <c r="H24" i="3"/>
  <c r="G24" i="3"/>
  <c r="H79" i="3"/>
  <c r="G79" i="3"/>
  <c r="H78" i="3"/>
  <c r="G78" i="3"/>
  <c r="H77" i="3"/>
  <c r="G77" i="3"/>
  <c r="H76" i="3"/>
  <c r="G76" i="3"/>
  <c r="H75" i="3"/>
  <c r="G75" i="3"/>
  <c r="H18" i="3"/>
  <c r="I9" i="8" s="1"/>
  <c r="G18" i="3"/>
  <c r="H9" i="8" s="1"/>
  <c r="H17" i="3"/>
  <c r="I8" i="8" s="1"/>
  <c r="G17" i="3"/>
  <c r="H8" i="8" s="1"/>
  <c r="H16" i="3"/>
  <c r="I7" i="8" s="1"/>
  <c r="G16" i="3"/>
  <c r="H7" i="8" s="1"/>
  <c r="H15" i="3"/>
  <c r="I6" i="8" s="1"/>
  <c r="G15" i="3"/>
  <c r="H6" i="8" s="1"/>
  <c r="H14" i="3"/>
  <c r="I5" i="8" s="1"/>
  <c r="G14" i="3"/>
  <c r="H5" i="8" s="1"/>
  <c r="H13" i="3"/>
  <c r="I4" i="8" s="1"/>
  <c r="G13" i="3"/>
  <c r="H4" i="8" s="1"/>
  <c r="H12" i="3"/>
  <c r="I3" i="8" s="1"/>
  <c r="G12" i="3"/>
  <c r="H3" i="8" s="1"/>
  <c r="G80" i="3"/>
  <c r="H30" i="10" s="1"/>
  <c r="H80" i="3"/>
  <c r="I30" i="10" s="1"/>
  <c r="G81" i="3"/>
  <c r="H31" i="10" s="1"/>
  <c r="H81" i="3"/>
  <c r="I31" i="10" s="1"/>
  <c r="AB197" i="13" l="1"/>
  <c r="AB173" i="13"/>
  <c r="AA128" i="13"/>
  <c r="AA173" i="13"/>
  <c r="BR97" i="13"/>
  <c r="BS97" i="13"/>
  <c r="BT97" i="13"/>
  <c r="AA197" i="13"/>
  <c r="Z197" i="13"/>
  <c r="Z128" i="13"/>
  <c r="Z173" i="13"/>
  <c r="AB128" i="13"/>
  <c r="I15" i="8"/>
  <c r="H25" i="3"/>
  <c r="H15" i="8"/>
  <c r="G25" i="3"/>
  <c r="H16" i="8" s="1"/>
  <c r="H24" i="8"/>
  <c r="V24" i="8" s="1"/>
  <c r="G34" i="3"/>
  <c r="H30" i="8"/>
  <c r="G40" i="3"/>
  <c r="I30" i="8"/>
  <c r="H40" i="3"/>
  <c r="H27" i="8"/>
  <c r="G37" i="3"/>
  <c r="I27" i="8"/>
  <c r="H37" i="3"/>
  <c r="M27" i="8"/>
  <c r="AP27" i="8" s="1"/>
  <c r="L37" i="3"/>
  <c r="M28" i="8" s="1"/>
  <c r="I24" i="8"/>
  <c r="W24" i="8" s="1"/>
  <c r="H34" i="3"/>
  <c r="H21" i="8"/>
  <c r="G31" i="3"/>
  <c r="I21" i="8"/>
  <c r="H31" i="3"/>
  <c r="H18" i="8"/>
  <c r="G28" i="3"/>
  <c r="I18" i="8"/>
  <c r="H28" i="3"/>
  <c r="C72" i="3"/>
  <c r="C29" i="13" s="1"/>
  <c r="X31" i="11" s="1"/>
  <c r="Y31" i="11" s="1"/>
  <c r="B72" i="3"/>
  <c r="B29" i="13" s="1"/>
  <c r="AA24" i="8"/>
  <c r="AP24" i="8" s="1"/>
  <c r="AB24" i="8"/>
  <c r="AQ24" i="8" s="1"/>
  <c r="AN20" i="10"/>
  <c r="AM20" i="10"/>
  <c r="AH20" i="10"/>
  <c r="AR20" i="10"/>
  <c r="AJ20" i="10"/>
  <c r="AI20" i="10"/>
  <c r="AL20" i="10"/>
  <c r="AO20" i="10"/>
  <c r="AS20" i="10"/>
  <c r="AK20" i="10"/>
  <c r="AE5" i="10"/>
  <c r="AH5" i="10" s="1"/>
  <c r="AE23" i="10"/>
  <c r="AR234" i="13"/>
  <c r="AR235" i="13" s="1"/>
  <c r="X30" i="11"/>
  <c r="Y30" i="11" s="1"/>
  <c r="DY56" i="13"/>
  <c r="AR151" i="13"/>
  <c r="AR152" i="13" s="1"/>
  <c r="AR153" i="13" s="1"/>
  <c r="AR154" i="13" s="1"/>
  <c r="AR155" i="13" s="1"/>
  <c r="AR149" i="13"/>
  <c r="AR148" i="13" s="1"/>
  <c r="AR147" i="13" s="1"/>
  <c r="AR146" i="13" s="1"/>
  <c r="AR145" i="13" s="1"/>
  <c r="DV56" i="13"/>
  <c r="DX56" i="13"/>
  <c r="DW56" i="13"/>
  <c r="CB97" i="13"/>
  <c r="CC97" i="13"/>
  <c r="BZ97" i="13"/>
  <c r="CA97" i="13"/>
  <c r="AH166" i="13"/>
  <c r="AK134" i="13"/>
  <c r="AI116" i="13"/>
  <c r="AK166" i="13"/>
  <c r="AJ116" i="13"/>
  <c r="AH190" i="13"/>
  <c r="AI190" i="13"/>
  <c r="AJ166" i="13"/>
  <c r="AK190" i="13"/>
  <c r="AH116" i="13"/>
  <c r="AK116" i="13"/>
  <c r="AI166" i="13"/>
  <c r="AH134" i="13"/>
  <c r="AJ190" i="13"/>
  <c r="AJ134" i="13"/>
  <c r="AJ250" i="13"/>
  <c r="AI134" i="13"/>
  <c r="AI250" i="13"/>
  <c r="AH251" i="13"/>
  <c r="BV97" i="13"/>
  <c r="CD97" i="13"/>
  <c r="CH97" i="13"/>
  <c r="CF97" i="13"/>
  <c r="BY97" i="13"/>
  <c r="BW97" i="13"/>
  <c r="CE97" i="13"/>
  <c r="CI97" i="13"/>
  <c r="BX97" i="13"/>
  <c r="CJ97" i="13"/>
  <c r="BU97" i="13"/>
  <c r="CG97" i="13"/>
  <c r="BQ61" i="13"/>
  <c r="BJ61" i="13"/>
  <c r="BK61" i="13"/>
  <c r="BR61" i="13"/>
  <c r="BS61" i="13"/>
  <c r="AD249" i="13"/>
  <c r="AN248" i="13"/>
  <c r="AP248" i="13"/>
  <c r="AL136" i="13"/>
  <c r="AG188" i="13"/>
  <c r="AM136" i="13"/>
  <c r="AC164" i="13"/>
  <c r="AQ164" i="13"/>
  <c r="AM188" i="13"/>
  <c r="AO188" i="13"/>
  <c r="BE61" i="13"/>
  <c r="BN61" i="13"/>
  <c r="BA61" i="13"/>
  <c r="BI61" i="13"/>
  <c r="BV61" i="13"/>
  <c r="AF248" i="13"/>
  <c r="AP188" i="13"/>
  <c r="BU61" i="13"/>
  <c r="BH61" i="13"/>
  <c r="BL61" i="13"/>
  <c r="AD188" i="13"/>
  <c r="AO248" i="13"/>
  <c r="AE188" i="13"/>
  <c r="AL165" i="13"/>
  <c r="AO59" i="13" s="1"/>
  <c r="CF59" i="13" s="1"/>
  <c r="DZ59" i="13" s="1"/>
  <c r="AG249" i="13"/>
  <c r="AM249" i="13"/>
  <c r="AM164" i="13"/>
  <c r="AQ250" i="13"/>
  <c r="BM61" i="13"/>
  <c r="AZ61" i="13"/>
  <c r="BF61" i="13"/>
  <c r="BO61" i="13"/>
  <c r="BP61" i="13"/>
  <c r="BC61" i="13"/>
  <c r="BD61" i="13"/>
  <c r="BT61" i="13"/>
  <c r="BG61" i="13"/>
  <c r="BB61" i="13"/>
  <c r="AC188" i="13"/>
  <c r="AO136" i="13"/>
  <c r="AO164" i="13"/>
  <c r="AP164" i="13"/>
  <c r="AE248" i="13"/>
  <c r="AN164" i="13"/>
  <c r="AG164" i="13"/>
  <c r="AP136" i="13"/>
  <c r="AE164" i="13"/>
  <c r="AN136" i="13"/>
  <c r="AQ136" i="13"/>
  <c r="AN189" i="13"/>
  <c r="AL248" i="13"/>
  <c r="AL188" i="13"/>
  <c r="AD164" i="13"/>
  <c r="AF188" i="13"/>
  <c r="AQ188" i="13"/>
  <c r="AF164" i="13"/>
  <c r="AC249" i="13"/>
  <c r="L138" i="13"/>
  <c r="B187" i="13"/>
  <c r="W187" i="13"/>
  <c r="H187" i="13"/>
  <c r="T163" i="13"/>
  <c r="J187" i="13"/>
  <c r="X138" i="13"/>
  <c r="V187" i="13"/>
  <c r="S163" i="13"/>
  <c r="H138" i="13"/>
  <c r="X187" i="13"/>
  <c r="E138" i="13"/>
  <c r="M138" i="13"/>
  <c r="O187" i="13"/>
  <c r="U163" i="13"/>
  <c r="Q187" i="13"/>
  <c r="E163" i="13"/>
  <c r="F138" i="13"/>
  <c r="L187" i="13"/>
  <c r="AU97" i="13"/>
  <c r="AY97" i="13"/>
  <c r="BC97" i="13"/>
  <c r="BG97" i="13"/>
  <c r="AW97" i="13"/>
  <c r="BB97" i="13"/>
  <c r="BH97" i="13"/>
  <c r="BL97" i="13"/>
  <c r="BP97" i="13"/>
  <c r="AZ97" i="13"/>
  <c r="BF97" i="13"/>
  <c r="BM97" i="13"/>
  <c r="AV97" i="13"/>
  <c r="BE97" i="13"/>
  <c r="BN97" i="13"/>
  <c r="BD97" i="13"/>
  <c r="BO97" i="13"/>
  <c r="BI97" i="13"/>
  <c r="BQ97" i="13"/>
  <c r="BJ97" i="13"/>
  <c r="BK97" i="13"/>
  <c r="AX97" i="13"/>
  <c r="BA97" i="13"/>
  <c r="AT97" i="13"/>
  <c r="K187" i="13"/>
  <c r="Q163" i="13"/>
  <c r="B163" i="13"/>
  <c r="D163" i="13"/>
  <c r="L163" i="13"/>
  <c r="W163" i="13"/>
  <c r="R187" i="13"/>
  <c r="F187" i="13"/>
  <c r="I138" i="13"/>
  <c r="K138" i="13"/>
  <c r="A99" i="13"/>
  <c r="AS98" i="13"/>
  <c r="X163" i="13"/>
  <c r="D187" i="13"/>
  <c r="C138" i="13"/>
  <c r="V163" i="13"/>
  <c r="D138" i="13"/>
  <c r="H163" i="13"/>
  <c r="O163" i="13"/>
  <c r="C187" i="13"/>
  <c r="J163" i="13"/>
  <c r="I187" i="13"/>
  <c r="B138" i="13"/>
  <c r="G187" i="13"/>
  <c r="M187" i="13"/>
  <c r="N187" i="13"/>
  <c r="S187" i="13"/>
  <c r="R163" i="13"/>
  <c r="U187" i="13"/>
  <c r="N163" i="13"/>
  <c r="F163" i="13"/>
  <c r="P187" i="13"/>
  <c r="P163" i="13"/>
  <c r="T187" i="13"/>
  <c r="K163" i="13"/>
  <c r="J138" i="13"/>
  <c r="I163" i="13"/>
  <c r="E187" i="13"/>
  <c r="C163" i="13"/>
  <c r="M163" i="13"/>
  <c r="G163" i="13"/>
  <c r="G138" i="13"/>
  <c r="AE3" i="10"/>
  <c r="AE7" i="10"/>
  <c r="AN32" i="10"/>
  <c r="AK6" i="8"/>
  <c r="AE17" i="10"/>
  <c r="AK17" i="10" s="1"/>
  <c r="AK4" i="8"/>
  <c r="AM4" i="8"/>
  <c r="AL4" i="8"/>
  <c r="AR4" i="8"/>
  <c r="AM15" i="8"/>
  <c r="AL6" i="8"/>
  <c r="AK5" i="8"/>
  <c r="AI27" i="8"/>
  <c r="AO6" i="8"/>
  <c r="AL9" i="8"/>
  <c r="AK21" i="8"/>
  <c r="AL7" i="8"/>
  <c r="AL21" i="8"/>
  <c r="AK8" i="8"/>
  <c r="AL5" i="8"/>
  <c r="AI15" i="10"/>
  <c r="AS13" i="10"/>
  <c r="AO6" i="10"/>
  <c r="AL14" i="10"/>
  <c r="AR21" i="8"/>
  <c r="AK13" i="10"/>
  <c r="AL13" i="10"/>
  <c r="AO4" i="8"/>
  <c r="AM18" i="8"/>
  <c r="AM6" i="10"/>
  <c r="AM27" i="8"/>
  <c r="AI8" i="8"/>
  <c r="AO27" i="8"/>
  <c r="AI6" i="8"/>
  <c r="AH6" i="10"/>
  <c r="AR6" i="10"/>
  <c r="AL12" i="10"/>
  <c r="AN3" i="8"/>
  <c r="AJ5" i="8"/>
  <c r="AN27" i="8"/>
  <c r="AN6" i="8"/>
  <c r="AI4" i="8"/>
  <c r="AN5" i="8"/>
  <c r="AJ27" i="8"/>
  <c r="AL8" i="8"/>
  <c r="AL15" i="8"/>
  <c r="AL27" i="8"/>
  <c r="AM16" i="10"/>
  <c r="AI6" i="10"/>
  <c r="AN6" i="10"/>
  <c r="AS5" i="8"/>
  <c r="AM5" i="8"/>
  <c r="AO18" i="8"/>
  <c r="AH15" i="10"/>
  <c r="AH12" i="10"/>
  <c r="AM15" i="10"/>
  <c r="AH7" i="8"/>
  <c r="AR7" i="8"/>
  <c r="AO7" i="8"/>
  <c r="AN7" i="8"/>
  <c r="AS7" i="8"/>
  <c r="AJ8" i="8"/>
  <c r="AH8" i="8"/>
  <c r="AO8" i="8"/>
  <c r="AH9" i="8"/>
  <c r="AM9" i="8"/>
  <c r="AR9" i="8"/>
  <c r="AN8" i="8"/>
  <c r="AH15" i="8"/>
  <c r="AS15" i="8"/>
  <c r="AN15" i="8"/>
  <c r="AK7" i="8"/>
  <c r="AK9" i="8"/>
  <c r="AK15" i="8"/>
  <c r="AK18" i="8"/>
  <c r="AK27" i="8"/>
  <c r="AL30" i="10"/>
  <c r="AI13" i="10"/>
  <c r="AS12" i="10"/>
  <c r="AR13" i="10"/>
  <c r="AM13" i="10"/>
  <c r="AH21" i="8"/>
  <c r="AN21" i="8"/>
  <c r="AM21" i="8"/>
  <c r="AJ21" i="8"/>
  <c r="AO21" i="8"/>
  <c r="AH5" i="8"/>
  <c r="AI5" i="8"/>
  <c r="AO5" i="8"/>
  <c r="AS8" i="8"/>
  <c r="AR15" i="8"/>
  <c r="AR6" i="8"/>
  <c r="AI9" i="8"/>
  <c r="AS6" i="8"/>
  <c r="AO9" i="8"/>
  <c r="AS21" i="8"/>
  <c r="AJ4" i="8"/>
  <c r="AS4" i="8"/>
  <c r="AN4" i="8"/>
  <c r="AJ18" i="8"/>
  <c r="AH18" i="8"/>
  <c r="AI18" i="8"/>
  <c r="AL18" i="8"/>
  <c r="AO15" i="10"/>
  <c r="AK12" i="10"/>
  <c r="AN15" i="10"/>
  <c r="AJ13" i="10"/>
  <c r="AJ6" i="8"/>
  <c r="AM6" i="8"/>
  <c r="AR18" i="8"/>
  <c r="AH27" i="8"/>
  <c r="AR27" i="8"/>
  <c r="AI7" i="8"/>
  <c r="AM7" i="8"/>
  <c r="AN9" i="8"/>
  <c r="AS18" i="8"/>
  <c r="AM8" i="8"/>
  <c r="AI15" i="8"/>
  <c r="AJ15" i="8"/>
  <c r="AS9" i="8"/>
  <c r="AE30" i="8"/>
  <c r="AH3" i="8"/>
  <c r="AJ3" i="8"/>
  <c r="AM3" i="8"/>
  <c r="AL3" i="8"/>
  <c r="AR3" i="8"/>
  <c r="AI3" i="8"/>
  <c r="AK3" i="8"/>
  <c r="AO3" i="8"/>
  <c r="AR16" i="10"/>
  <c r="AR30" i="10"/>
  <c r="AI16" i="10"/>
  <c r="AO12" i="10"/>
  <c r="AH32" i="10"/>
  <c r="AO16" i="10"/>
  <c r="AK16" i="10"/>
  <c r="AM32" i="10"/>
  <c r="AL16" i="10"/>
  <c r="AH16" i="10"/>
  <c r="AS31" i="10"/>
  <c r="AJ30" i="10"/>
  <c r="AM30" i="10"/>
  <c r="AK31" i="10"/>
  <c r="AN16" i="10"/>
  <c r="AR31" i="10"/>
  <c r="AI30" i="10"/>
  <c r="AR12" i="10"/>
  <c r="AH30" i="10"/>
  <c r="AM12" i="10"/>
  <c r="AR15" i="10"/>
  <c r="AO13" i="10"/>
  <c r="AS16" i="10"/>
  <c r="AN30" i="10"/>
  <c r="B73" i="3"/>
  <c r="B45" i="13" s="1"/>
  <c r="AO30" i="10"/>
  <c r="AK15" i="10"/>
  <c r="AK30" i="10"/>
  <c r="AJ14" i="10"/>
  <c r="AN14" i="10"/>
  <c r="AO14" i="10"/>
  <c r="AL31" i="10"/>
  <c r="AO32" i="10"/>
  <c r="AI32" i="10"/>
  <c r="AI12" i="10"/>
  <c r="AK32" i="10"/>
  <c r="AM14" i="10"/>
  <c r="AR32" i="10"/>
  <c r="AL15" i="10"/>
  <c r="AK14" i="10"/>
  <c r="AN12" i="10"/>
  <c r="AS6" i="10"/>
  <c r="AR14" i="10"/>
  <c r="AS30" i="10"/>
  <c r="AN13" i="10"/>
  <c r="AS32" i="10"/>
  <c r="AO31" i="10"/>
  <c r="AH14" i="10"/>
  <c r="AH31" i="10"/>
  <c r="AJ32" i="10"/>
  <c r="AN31" i="10"/>
  <c r="AS14" i="10"/>
  <c r="AI31" i="10"/>
  <c r="AS15" i="10"/>
  <c r="AM31" i="10"/>
  <c r="AI14" i="10"/>
  <c r="F9" i="7"/>
  <c r="F8" i="7"/>
  <c r="F4" i="7"/>
  <c r="F3" i="7"/>
  <c r="E8" i="7"/>
  <c r="E4" i="7"/>
  <c r="E3" i="7"/>
  <c r="B38" i="2"/>
  <c r="S17" i="2"/>
  <c r="B41" i="2"/>
  <c r="B40" i="2"/>
  <c r="C3" i="2"/>
  <c r="C2" i="2"/>
  <c r="AQ46" i="8" l="1"/>
  <c r="M72" i="3" s="1"/>
  <c r="E29" i="13" s="1"/>
  <c r="Y150" i="13" s="1"/>
  <c r="AE24" i="8"/>
  <c r="AN24" i="8" s="1"/>
  <c r="AE12" i="8"/>
  <c r="AB127" i="13"/>
  <c r="Z127" i="13"/>
  <c r="AA198" i="13"/>
  <c r="Z198" i="13"/>
  <c r="BR98" i="13"/>
  <c r="BS98" i="13"/>
  <c r="BT98" i="13"/>
  <c r="AA127" i="13"/>
  <c r="AB198" i="13"/>
  <c r="L72" i="3"/>
  <c r="D29" i="13" s="1"/>
  <c r="Y174" i="13" s="1"/>
  <c r="AJ5" i="10"/>
  <c r="Y234" i="13"/>
  <c r="AO5" i="10"/>
  <c r="AI5" i="10"/>
  <c r="AM5" i="10"/>
  <c r="AN5" i="10"/>
  <c r="AS5" i="10"/>
  <c r="AR5" i="10"/>
  <c r="AR175" i="13"/>
  <c r="AR176" i="13" s="1"/>
  <c r="AR177" i="13" s="1"/>
  <c r="AR178" i="13" s="1"/>
  <c r="AR179" i="13" s="1"/>
  <c r="AR180" i="13" s="1"/>
  <c r="AR181" i="13" s="1"/>
  <c r="AR182" i="13" s="1"/>
  <c r="AR183" i="13" s="1"/>
  <c r="AR184" i="13" s="1"/>
  <c r="AR185" i="13" s="1"/>
  <c r="AK23" i="10"/>
  <c r="AS23" i="10"/>
  <c r="AJ23" i="10"/>
  <c r="AL23" i="10"/>
  <c r="AR23" i="10"/>
  <c r="AI23" i="10"/>
  <c r="AN23" i="10"/>
  <c r="AH23" i="10"/>
  <c r="AM23" i="10"/>
  <c r="AO23" i="10"/>
  <c r="AX57" i="13"/>
  <c r="CO57" i="13" s="1"/>
  <c r="EI57" i="13" s="1"/>
  <c r="AR144" i="13"/>
  <c r="AR143" i="13" s="1"/>
  <c r="AR142" i="13" s="1"/>
  <c r="AR141" i="13" s="1"/>
  <c r="AR140" i="13" s="1"/>
  <c r="AR139" i="13" s="1"/>
  <c r="AR138" i="13" s="1"/>
  <c r="AR137" i="13" s="1"/>
  <c r="AR136" i="13" s="1"/>
  <c r="AR135" i="13" s="1"/>
  <c r="AX56" i="13" s="1"/>
  <c r="CO56" i="13" s="1"/>
  <c r="AX58" i="13"/>
  <c r="CO58" i="13" s="1"/>
  <c r="EI58" i="13" s="1"/>
  <c r="AR156" i="13"/>
  <c r="AR157" i="13" s="1"/>
  <c r="AR158" i="13" s="1"/>
  <c r="AR159" i="13" s="1"/>
  <c r="AR160" i="13" s="1"/>
  <c r="AR161" i="13" s="1"/>
  <c r="AR162" i="13" s="1"/>
  <c r="AR163" i="13" s="1"/>
  <c r="AR164" i="13" s="1"/>
  <c r="AR165" i="13" s="1"/>
  <c r="AX59" i="13" s="1"/>
  <c r="CO59" i="13" s="1"/>
  <c r="EI59" i="13" s="1"/>
  <c r="AX66" i="13"/>
  <c r="CO66" i="13" s="1"/>
  <c r="EI66" i="13" s="1"/>
  <c r="AR236" i="13"/>
  <c r="AR237" i="13" s="1"/>
  <c r="AR238" i="13" s="1"/>
  <c r="AR239" i="13" s="1"/>
  <c r="AR240" i="13" s="1"/>
  <c r="AR241" i="13" s="1"/>
  <c r="AR242" i="13" s="1"/>
  <c r="AR243" i="13" s="1"/>
  <c r="AR244" i="13" s="1"/>
  <c r="AR245" i="13" s="1"/>
  <c r="CB98" i="13"/>
  <c r="CC98" i="13"/>
  <c r="BZ98" i="13"/>
  <c r="CA98" i="13"/>
  <c r="AJ191" i="13"/>
  <c r="AH115" i="13"/>
  <c r="AK54" i="13" s="1"/>
  <c r="AJ167" i="13"/>
  <c r="AK167" i="13"/>
  <c r="AI251" i="13"/>
  <c r="AJ251" i="13"/>
  <c r="AI167" i="13"/>
  <c r="AH191" i="13"/>
  <c r="AK133" i="13"/>
  <c r="AH252" i="13"/>
  <c r="AI133" i="13"/>
  <c r="AJ133" i="13"/>
  <c r="AH133" i="13"/>
  <c r="AK115" i="13"/>
  <c r="AN54" i="13" s="1"/>
  <c r="AK191" i="13"/>
  <c r="AI191" i="13"/>
  <c r="AJ115" i="13"/>
  <c r="AM54" i="13" s="1"/>
  <c r="AI115" i="13"/>
  <c r="AL54" i="13" s="1"/>
  <c r="AH167" i="13"/>
  <c r="BV98" i="13"/>
  <c r="CD98" i="13"/>
  <c r="CH98" i="13"/>
  <c r="BX98" i="13"/>
  <c r="CJ98" i="13"/>
  <c r="BU98" i="13"/>
  <c r="CG98" i="13"/>
  <c r="BW98" i="13"/>
  <c r="CE98" i="13"/>
  <c r="CI98" i="13"/>
  <c r="CF98" i="13"/>
  <c r="BY98" i="13"/>
  <c r="DM61" i="13"/>
  <c r="DP61" i="13"/>
  <c r="DD61" i="13"/>
  <c r="CX61" i="13"/>
  <c r="CZ61" i="13"/>
  <c r="DA61" i="13"/>
  <c r="DJ61" i="13"/>
  <c r="DG61" i="13"/>
  <c r="DO61" i="13"/>
  <c r="DH61" i="13"/>
  <c r="DE61" i="13"/>
  <c r="CU61" i="13"/>
  <c r="AO189" i="13"/>
  <c r="AM135" i="13"/>
  <c r="AP56" i="13" s="1"/>
  <c r="CG56" i="13" s="1"/>
  <c r="AP249" i="13"/>
  <c r="AD250" i="13"/>
  <c r="AF165" i="13"/>
  <c r="AI59" i="13" s="1"/>
  <c r="BZ59" i="13" s="1"/>
  <c r="AD165" i="13"/>
  <c r="AG59" i="13" s="1"/>
  <c r="BX59" i="13" s="1"/>
  <c r="AE249" i="13"/>
  <c r="AC189" i="13"/>
  <c r="AM165" i="13"/>
  <c r="AP59" i="13" s="1"/>
  <c r="CG59" i="13" s="1"/>
  <c r="EA59" i="13" s="1"/>
  <c r="AE189" i="13"/>
  <c r="AD189" i="13"/>
  <c r="AF249" i="13"/>
  <c r="EK61" i="13"/>
  <c r="DB61" i="13"/>
  <c r="DC61" i="13"/>
  <c r="CY61" i="13"/>
  <c r="AM189" i="13"/>
  <c r="AQ165" i="13"/>
  <c r="AT59" i="13" s="1"/>
  <c r="CK59" i="13" s="1"/>
  <c r="EE59" i="13" s="1"/>
  <c r="AC165" i="13"/>
  <c r="AF59" i="13" s="1"/>
  <c r="BW59" i="13" s="1"/>
  <c r="AG189" i="13"/>
  <c r="AL135" i="13"/>
  <c r="AO56" i="13" s="1"/>
  <c r="CF56" i="13" s="1"/>
  <c r="AN249" i="13"/>
  <c r="DL61" i="13"/>
  <c r="DK61" i="13"/>
  <c r="AQ189" i="13"/>
  <c r="AL249" i="13"/>
  <c r="AN135" i="13"/>
  <c r="AQ56" i="13" s="1"/>
  <c r="CH56" i="13" s="1"/>
  <c r="AG165" i="13"/>
  <c r="AJ59" i="13" s="1"/>
  <c r="CA59" i="13" s="1"/>
  <c r="AO165" i="13"/>
  <c r="AR59" i="13" s="1"/>
  <c r="CI59" i="13" s="1"/>
  <c r="EC59" i="13" s="1"/>
  <c r="AG250" i="13"/>
  <c r="AO249" i="13"/>
  <c r="AC250" i="13"/>
  <c r="AF189" i="13"/>
  <c r="AL189" i="13"/>
  <c r="AN190" i="13"/>
  <c r="AQ135" i="13"/>
  <c r="AT56" i="13" s="1"/>
  <c r="CK56" i="13" s="1"/>
  <c r="AE165" i="13"/>
  <c r="AH59" i="13" s="1"/>
  <c r="BY59" i="13" s="1"/>
  <c r="AP135" i="13"/>
  <c r="AS56" i="13" s="1"/>
  <c r="CJ56" i="13" s="1"/>
  <c r="AN165" i="13"/>
  <c r="AQ59" i="13" s="1"/>
  <c r="CH59" i="13" s="1"/>
  <c r="EB59" i="13" s="1"/>
  <c r="AP165" i="13"/>
  <c r="AS59" i="13" s="1"/>
  <c r="CJ59" i="13" s="1"/>
  <c r="ED59" i="13" s="1"/>
  <c r="AO135" i="13"/>
  <c r="AR56" i="13" s="1"/>
  <c r="CI56" i="13" s="1"/>
  <c r="CV61" i="13"/>
  <c r="DN61" i="13"/>
  <c r="CW61" i="13"/>
  <c r="DI61" i="13"/>
  <c r="CT61" i="13"/>
  <c r="AQ251" i="13"/>
  <c r="AM250" i="13"/>
  <c r="AL166" i="13"/>
  <c r="DF61" i="13"/>
  <c r="AP189" i="13"/>
  <c r="E188" i="13"/>
  <c r="T188" i="13"/>
  <c r="N164" i="13"/>
  <c r="N188" i="13"/>
  <c r="O164" i="13"/>
  <c r="D137" i="13"/>
  <c r="X164" i="13"/>
  <c r="F188" i="13"/>
  <c r="D164" i="13"/>
  <c r="K188" i="13"/>
  <c r="Q188" i="13"/>
  <c r="O188" i="13"/>
  <c r="E137" i="13"/>
  <c r="H137" i="13"/>
  <c r="J188" i="13"/>
  <c r="H188" i="13"/>
  <c r="B188" i="13"/>
  <c r="AW98" i="13"/>
  <c r="BA98" i="13"/>
  <c r="BE98" i="13"/>
  <c r="BI98" i="13"/>
  <c r="BM98" i="13"/>
  <c r="BQ98" i="13"/>
  <c r="AU98" i="13"/>
  <c r="AZ98" i="13"/>
  <c r="BF98" i="13"/>
  <c r="BK98" i="13"/>
  <c r="BP98" i="13"/>
  <c r="AX98" i="13"/>
  <c r="BD98" i="13"/>
  <c r="BL98" i="13"/>
  <c r="BB98" i="13"/>
  <c r="BJ98" i="13"/>
  <c r="BC98" i="13"/>
  <c r="BN98" i="13"/>
  <c r="BG98" i="13"/>
  <c r="BH98" i="13"/>
  <c r="BO98" i="13"/>
  <c r="AV98" i="13"/>
  <c r="AY98" i="13"/>
  <c r="AT98" i="13"/>
  <c r="G164" i="13"/>
  <c r="J137" i="13"/>
  <c r="P188" i="13"/>
  <c r="G188" i="13"/>
  <c r="J164" i="13"/>
  <c r="C137" i="13"/>
  <c r="A100" i="13"/>
  <c r="AS99" i="13"/>
  <c r="W164" i="13"/>
  <c r="V188" i="13"/>
  <c r="G137" i="13"/>
  <c r="M164" i="13"/>
  <c r="C164" i="13"/>
  <c r="I164" i="13"/>
  <c r="K164" i="13"/>
  <c r="P164" i="13"/>
  <c r="F164" i="13"/>
  <c r="U188" i="13"/>
  <c r="R164" i="13"/>
  <c r="S188" i="13"/>
  <c r="M188" i="13"/>
  <c r="B137" i="13"/>
  <c r="I188" i="13"/>
  <c r="C188" i="13"/>
  <c r="H164" i="13"/>
  <c r="V164" i="13"/>
  <c r="D188" i="13"/>
  <c r="K137" i="13"/>
  <c r="I137" i="13"/>
  <c r="R188" i="13"/>
  <c r="L164" i="13"/>
  <c r="B164" i="13"/>
  <c r="Q164" i="13"/>
  <c r="L188" i="13"/>
  <c r="F137" i="13"/>
  <c r="E164" i="13"/>
  <c r="U164" i="13"/>
  <c r="M137" i="13"/>
  <c r="X188" i="13"/>
  <c r="S164" i="13"/>
  <c r="X137" i="13"/>
  <c r="T164" i="13"/>
  <c r="W188" i="13"/>
  <c r="L137" i="13"/>
  <c r="AR7" i="10"/>
  <c r="AS7" i="10"/>
  <c r="AJ7" i="10"/>
  <c r="AN7" i="10"/>
  <c r="AH7" i="10"/>
  <c r="AL7" i="10"/>
  <c r="AK7" i="10"/>
  <c r="AI7" i="10"/>
  <c r="AO7" i="10"/>
  <c r="AM7" i="10"/>
  <c r="AH17" i="10"/>
  <c r="AI17" i="10"/>
  <c r="AS17" i="10"/>
  <c r="AO17" i="10"/>
  <c r="AJ17" i="10"/>
  <c r="AM17" i="10"/>
  <c r="AR17" i="10"/>
  <c r="AL17" i="10"/>
  <c r="AR3" i="10"/>
  <c r="AI3" i="10"/>
  <c r="AI34" i="10" s="1"/>
  <c r="AO3" i="10"/>
  <c r="AL3" i="10"/>
  <c r="AN3" i="10"/>
  <c r="AS3" i="10"/>
  <c r="AJ3" i="10"/>
  <c r="AJ34" i="10" s="1"/>
  <c r="AH3" i="10"/>
  <c r="AH34" i="10" s="1"/>
  <c r="AK3" i="10"/>
  <c r="AM3" i="10"/>
  <c r="AN17" i="10"/>
  <c r="AJ30" i="8"/>
  <c r="AI30" i="8"/>
  <c r="AS30" i="8"/>
  <c r="AK30" i="8"/>
  <c r="AM30" i="8"/>
  <c r="AO30" i="8"/>
  <c r="AL30" i="8"/>
  <c r="AH30" i="8"/>
  <c r="AR30" i="8"/>
  <c r="AN30" i="8"/>
  <c r="F34" i="5"/>
  <c r="F35" i="5"/>
  <c r="F33" i="5"/>
  <c r="AA30" i="2"/>
  <c r="F32" i="5"/>
  <c r="F14" i="2"/>
  <c r="F15" i="2" s="1"/>
  <c r="F16" i="2" s="1"/>
  <c r="F17" i="2" s="1"/>
  <c r="F18" i="2" s="1"/>
  <c r="F19" i="2" s="1"/>
  <c r="F20" i="2" s="1"/>
  <c r="F21" i="2" s="1"/>
  <c r="F22" i="2" s="1"/>
  <c r="C34" i="2"/>
  <c r="H34" i="2" s="1"/>
  <c r="C33" i="2"/>
  <c r="H33" i="2" s="1"/>
  <c r="C32" i="2"/>
  <c r="H32" i="2" s="1"/>
  <c r="C31" i="2"/>
  <c r="H31" i="2" s="1"/>
  <c r="C5" i="2"/>
  <c r="M5" i="2" s="1"/>
  <c r="C6" i="2"/>
  <c r="H6" i="2" s="1"/>
  <c r="C7" i="2"/>
  <c r="M7" i="2" s="1"/>
  <c r="C8" i="2"/>
  <c r="H8" i="2" s="1"/>
  <c r="AO24" i="8" l="1"/>
  <c r="AO34" i="10"/>
  <c r="AM34" i="10"/>
  <c r="AS34" i="10"/>
  <c r="AN34" i="10"/>
  <c r="AR34" i="10"/>
  <c r="AM24" i="8"/>
  <c r="AL24" i="8"/>
  <c r="AJ24" i="8"/>
  <c r="AI24" i="8"/>
  <c r="AK24" i="8"/>
  <c r="AS24" i="8"/>
  <c r="Y151" i="13"/>
  <c r="Y152" i="13" s="1"/>
  <c r="Y153" i="13" s="1"/>
  <c r="Y154" i="13" s="1"/>
  <c r="Y155" i="13" s="1"/>
  <c r="Y156" i="13" s="1"/>
  <c r="Y157" i="13" s="1"/>
  <c r="Y158" i="13" s="1"/>
  <c r="Y159" i="13" s="1"/>
  <c r="Y160" i="13" s="1"/>
  <c r="Y161" i="13" s="1"/>
  <c r="Y162" i="13" s="1"/>
  <c r="Y163" i="13" s="1"/>
  <c r="Y164" i="13" s="1"/>
  <c r="Y165" i="13" s="1"/>
  <c r="AH24" i="8"/>
  <c r="AR24" i="8"/>
  <c r="AH12" i="8"/>
  <c r="AI12" i="8"/>
  <c r="AO12" i="8"/>
  <c r="AM12" i="8"/>
  <c r="AS12" i="8"/>
  <c r="AS46" i="8" s="1"/>
  <c r="Q72" i="3" s="1"/>
  <c r="AR12" i="8"/>
  <c r="AL12" i="8"/>
  <c r="AK12" i="8"/>
  <c r="AJ12" i="8"/>
  <c r="AN12" i="8"/>
  <c r="AA126" i="13"/>
  <c r="Z126" i="13"/>
  <c r="Z199" i="13"/>
  <c r="BS99" i="13"/>
  <c r="BT99" i="13"/>
  <c r="BR99" i="13"/>
  <c r="AB199" i="13"/>
  <c r="AA199" i="13"/>
  <c r="AB126" i="13"/>
  <c r="Y175" i="13"/>
  <c r="Y176" i="13" s="1"/>
  <c r="Y177" i="13" s="1"/>
  <c r="Y178" i="13" s="1"/>
  <c r="Y179" i="13" s="1"/>
  <c r="Y180" i="13" s="1"/>
  <c r="Y181" i="13" s="1"/>
  <c r="Y182" i="13" s="1"/>
  <c r="Y183" i="13" s="1"/>
  <c r="Y184" i="13" s="1"/>
  <c r="Y185" i="13" s="1"/>
  <c r="AY61" i="13" s="1"/>
  <c r="CP61" i="13" s="1"/>
  <c r="EJ61" i="13" s="1"/>
  <c r="E73" i="3"/>
  <c r="AX60" i="13"/>
  <c r="CO60" i="13" s="1"/>
  <c r="EI60" i="13" s="1"/>
  <c r="AY58" i="13"/>
  <c r="CP58" i="13" s="1"/>
  <c r="EJ58" i="13" s="1"/>
  <c r="EI56" i="13"/>
  <c r="EE56" i="13"/>
  <c r="DU59" i="13"/>
  <c r="DZ56" i="13"/>
  <c r="AX67" i="13"/>
  <c r="CO67" i="13" s="1"/>
  <c r="EI67" i="13" s="1"/>
  <c r="AR246" i="13"/>
  <c r="AR247" i="13" s="1"/>
  <c r="AR248" i="13" s="1"/>
  <c r="AR249" i="13" s="1"/>
  <c r="AR250" i="13" s="1"/>
  <c r="AR251" i="13" s="1"/>
  <c r="EB56" i="13"/>
  <c r="DR59" i="13"/>
  <c r="ED56" i="13"/>
  <c r="DQ59" i="13"/>
  <c r="DT59" i="13"/>
  <c r="EA56" i="13"/>
  <c r="EC56" i="13"/>
  <c r="DS59" i="13"/>
  <c r="AX61" i="13"/>
  <c r="CO61" i="13" s="1"/>
  <c r="EI61" i="13" s="1"/>
  <c r="AR186" i="13"/>
  <c r="AR187" i="13" s="1"/>
  <c r="AR188" i="13" s="1"/>
  <c r="AR189" i="13" s="1"/>
  <c r="AR190" i="13" s="1"/>
  <c r="CB99" i="13"/>
  <c r="CC99" i="13"/>
  <c r="BZ99" i="13"/>
  <c r="CA99" i="13"/>
  <c r="AI192" i="13"/>
  <c r="AH253" i="13"/>
  <c r="AH192" i="13"/>
  <c r="AJ252" i="13"/>
  <c r="AK168" i="13"/>
  <c r="AH168" i="13"/>
  <c r="AK192" i="13"/>
  <c r="AI168" i="13"/>
  <c r="AI252" i="13"/>
  <c r="AJ168" i="13"/>
  <c r="AJ192" i="13"/>
  <c r="BV99" i="13"/>
  <c r="CD99" i="13"/>
  <c r="CH99" i="13"/>
  <c r="CF99" i="13"/>
  <c r="BY99" i="13"/>
  <c r="BW99" i="13"/>
  <c r="CE99" i="13"/>
  <c r="CI99" i="13"/>
  <c r="BX99" i="13"/>
  <c r="CJ99" i="13"/>
  <c r="BU99" i="13"/>
  <c r="CG99" i="13"/>
  <c r="AL167" i="13"/>
  <c r="AQ252" i="13"/>
  <c r="AP190" i="13"/>
  <c r="AP166" i="13"/>
  <c r="AQ134" i="13"/>
  <c r="AO166" i="13"/>
  <c r="AR166" i="13"/>
  <c r="AD190" i="13"/>
  <c r="AE250" i="13"/>
  <c r="AF166" i="13"/>
  <c r="AM134" i="13"/>
  <c r="AM251" i="13"/>
  <c r="AP134" i="13"/>
  <c r="AL190" i="13"/>
  <c r="AO250" i="13"/>
  <c r="AN134" i="13"/>
  <c r="AQ190" i="13"/>
  <c r="AL134" i="13"/>
  <c r="AC166" i="13"/>
  <c r="AM190" i="13"/>
  <c r="AM166" i="13"/>
  <c r="AP250" i="13"/>
  <c r="AO134" i="13"/>
  <c r="AN166" i="13"/>
  <c r="AE166" i="13"/>
  <c r="AN191" i="13"/>
  <c r="AF190" i="13"/>
  <c r="AC251" i="13"/>
  <c r="AG251" i="13"/>
  <c r="AG166" i="13"/>
  <c r="AL250" i="13"/>
  <c r="AN250" i="13"/>
  <c r="AG190" i="13"/>
  <c r="AQ166" i="13"/>
  <c r="AF250" i="13"/>
  <c r="AE190" i="13"/>
  <c r="AC190" i="13"/>
  <c r="AR134" i="13"/>
  <c r="AD166" i="13"/>
  <c r="AD251" i="13"/>
  <c r="AO190" i="13"/>
  <c r="X136" i="13"/>
  <c r="M136" i="13"/>
  <c r="L189" i="13"/>
  <c r="B165" i="13"/>
  <c r="K136" i="13"/>
  <c r="H165" i="13"/>
  <c r="C189" i="13"/>
  <c r="S189" i="13"/>
  <c r="P165" i="13"/>
  <c r="M165" i="13"/>
  <c r="C136" i="13"/>
  <c r="H189" i="13"/>
  <c r="E136" i="13"/>
  <c r="Q189" i="13"/>
  <c r="D165" i="13"/>
  <c r="D136" i="13"/>
  <c r="N165" i="13"/>
  <c r="E189" i="13"/>
  <c r="AX99" i="13"/>
  <c r="BB99" i="13"/>
  <c r="BF99" i="13"/>
  <c r="BJ99" i="13"/>
  <c r="BN99" i="13"/>
  <c r="AY99" i="13"/>
  <c r="BD99" i="13"/>
  <c r="BI99" i="13"/>
  <c r="BO99" i="13"/>
  <c r="AV99" i="13"/>
  <c r="BC99" i="13"/>
  <c r="BK99" i="13"/>
  <c r="BQ99" i="13"/>
  <c r="AW99" i="13"/>
  <c r="BG99" i="13"/>
  <c r="BP99" i="13"/>
  <c r="AT99" i="13"/>
  <c r="AZ99" i="13"/>
  <c r="BH99" i="13"/>
  <c r="BA99" i="13"/>
  <c r="BE99" i="13"/>
  <c r="AU99" i="13"/>
  <c r="BL99" i="13"/>
  <c r="BM99" i="13"/>
  <c r="W189" i="13"/>
  <c r="E165" i="13"/>
  <c r="R189" i="13"/>
  <c r="D189" i="13"/>
  <c r="B136" i="13"/>
  <c r="U189" i="13"/>
  <c r="I165" i="13"/>
  <c r="V189" i="13"/>
  <c r="W165" i="13"/>
  <c r="J165" i="13"/>
  <c r="P189" i="13"/>
  <c r="G165" i="13"/>
  <c r="L136" i="13"/>
  <c r="T165" i="13"/>
  <c r="S165" i="13"/>
  <c r="X189" i="13"/>
  <c r="U165" i="13"/>
  <c r="F136" i="13"/>
  <c r="Q165" i="13"/>
  <c r="L165" i="13"/>
  <c r="I136" i="13"/>
  <c r="V165" i="13"/>
  <c r="I189" i="13"/>
  <c r="M189" i="13"/>
  <c r="R165" i="13"/>
  <c r="F165" i="13"/>
  <c r="K165" i="13"/>
  <c r="C165" i="13"/>
  <c r="G136" i="13"/>
  <c r="A101" i="13"/>
  <c r="AS100" i="13"/>
  <c r="G189" i="13"/>
  <c r="J136" i="13"/>
  <c r="B189" i="13"/>
  <c r="J189" i="13"/>
  <c r="H136" i="13"/>
  <c r="O189" i="13"/>
  <c r="K189" i="13"/>
  <c r="F189" i="13"/>
  <c r="X165" i="13"/>
  <c r="O165" i="13"/>
  <c r="N189" i="13"/>
  <c r="T189" i="13"/>
  <c r="H5" i="2"/>
  <c r="I5" i="2" s="1"/>
  <c r="M8" i="2"/>
  <c r="N8" i="2" s="1"/>
  <c r="M34" i="2"/>
  <c r="N34" i="2" s="1"/>
  <c r="M32" i="2"/>
  <c r="N32" i="2" s="1"/>
  <c r="M33" i="2"/>
  <c r="N33" i="2" s="1"/>
  <c r="H7" i="2"/>
  <c r="M31" i="2"/>
  <c r="N31" i="2" s="1"/>
  <c r="M6" i="2"/>
  <c r="N6" i="2" s="1"/>
  <c r="I73" i="3"/>
  <c r="D73" i="3"/>
  <c r="I32" i="5" s="1"/>
  <c r="Q73" i="3"/>
  <c r="S18" i="2" s="1"/>
  <c r="J73" i="3"/>
  <c r="P73" i="3"/>
  <c r="F73" i="3"/>
  <c r="S14" i="2" s="1"/>
  <c r="F58" i="13" s="1"/>
  <c r="K73" i="3"/>
  <c r="B42" i="2" s="1"/>
  <c r="I34" i="2"/>
  <c r="I32" i="2"/>
  <c r="N7" i="2"/>
  <c r="N5" i="2"/>
  <c r="I6" i="2"/>
  <c r="I7" i="2"/>
  <c r="I8" i="2"/>
  <c r="AI46" i="8" l="1"/>
  <c r="E72" i="3" s="1"/>
  <c r="AH46" i="8"/>
  <c r="D72" i="3" s="1"/>
  <c r="Y149" i="13"/>
  <c r="Y148" i="13" s="1"/>
  <c r="Y147" i="13" s="1"/>
  <c r="Y146" i="13" s="1"/>
  <c r="Y145" i="13" s="1"/>
  <c r="AY57" i="13" s="1"/>
  <c r="CP57" i="13" s="1"/>
  <c r="EJ57" i="13" s="1"/>
  <c r="AJ46" i="8"/>
  <c r="F72" i="3" s="1"/>
  <c r="AL46" i="8"/>
  <c r="H72" i="3" s="1"/>
  <c r="AO46" i="8"/>
  <c r="K72" i="3" s="1"/>
  <c r="AK46" i="8"/>
  <c r="G72" i="3" s="1"/>
  <c r="AM46" i="8"/>
  <c r="I72" i="3" s="1"/>
  <c r="AN46" i="8"/>
  <c r="J72" i="3" s="1"/>
  <c r="AR46" i="8"/>
  <c r="P72" i="3" s="1"/>
  <c r="BT100" i="13"/>
  <c r="BR100" i="13"/>
  <c r="BS100" i="13"/>
  <c r="Z125" i="13"/>
  <c r="AB125" i="13"/>
  <c r="AB200" i="13"/>
  <c r="AA200" i="13"/>
  <c r="Z200" i="13"/>
  <c r="AA125" i="13"/>
  <c r="AY60" i="13"/>
  <c r="CP60" i="13" s="1"/>
  <c r="EJ60" i="13" s="1"/>
  <c r="Y186" i="13"/>
  <c r="Y187" i="13" s="1"/>
  <c r="Y188" i="13" s="1"/>
  <c r="Y189" i="13" s="1"/>
  <c r="Y190" i="13" s="1"/>
  <c r="I33" i="5"/>
  <c r="S13" i="2"/>
  <c r="F60" i="13" s="1"/>
  <c r="F59" i="13" s="1"/>
  <c r="CB100" i="13"/>
  <c r="CC100" i="13"/>
  <c r="BZ100" i="13"/>
  <c r="CA100" i="13"/>
  <c r="AI169" i="13"/>
  <c r="AH254" i="13"/>
  <c r="AJ169" i="13"/>
  <c r="AH169" i="13"/>
  <c r="AJ253" i="13"/>
  <c r="AJ193" i="13"/>
  <c r="AI253" i="13"/>
  <c r="AK193" i="13"/>
  <c r="AK169" i="13"/>
  <c r="AH193" i="13"/>
  <c r="AI193" i="13"/>
  <c r="BV100" i="13"/>
  <c r="CD100" i="13"/>
  <c r="CH100" i="13"/>
  <c r="BX100" i="13"/>
  <c r="CJ100" i="13"/>
  <c r="BU100" i="13"/>
  <c r="CG100" i="13"/>
  <c r="BW100" i="13"/>
  <c r="CE100" i="13"/>
  <c r="CI100" i="13"/>
  <c r="CF100" i="13"/>
  <c r="BY100" i="13"/>
  <c r="AP251" i="13"/>
  <c r="AC167" i="13"/>
  <c r="AQ191" i="13"/>
  <c r="AO191" i="13"/>
  <c r="AD167" i="13"/>
  <c r="AG191" i="13"/>
  <c r="AG252" i="13"/>
  <c r="AP191" i="13"/>
  <c r="AN133" i="13"/>
  <c r="AM167" i="13"/>
  <c r="AP133" i="13"/>
  <c r="AR191" i="13"/>
  <c r="AC191" i="13"/>
  <c r="AF251" i="13"/>
  <c r="AL251" i="13"/>
  <c r="AF191" i="13"/>
  <c r="AE167" i="13"/>
  <c r="AO133" i="13"/>
  <c r="AM252" i="13"/>
  <c r="AF167" i="13"/>
  <c r="AD191" i="13"/>
  <c r="AO167" i="13"/>
  <c r="AQ133" i="13"/>
  <c r="AL168" i="13"/>
  <c r="AM191" i="13"/>
  <c r="AL133" i="13"/>
  <c r="AL191" i="13"/>
  <c r="AR252" i="13"/>
  <c r="AD252" i="13"/>
  <c r="AR133" i="13"/>
  <c r="AE191" i="13"/>
  <c r="AQ167" i="13"/>
  <c r="AN251" i="13"/>
  <c r="AG167" i="13"/>
  <c r="AC252" i="13"/>
  <c r="AN192" i="13"/>
  <c r="AN167" i="13"/>
  <c r="AO251" i="13"/>
  <c r="AM133" i="13"/>
  <c r="AE251" i="13"/>
  <c r="AR167" i="13"/>
  <c r="AP167" i="13"/>
  <c r="AQ253" i="13"/>
  <c r="T190" i="13"/>
  <c r="F190" i="13"/>
  <c r="H135" i="13"/>
  <c r="J59" i="13"/>
  <c r="C166" i="13"/>
  <c r="M190" i="13"/>
  <c r="L166" i="13"/>
  <c r="S59" i="13"/>
  <c r="X190" i="13"/>
  <c r="Q59" i="13"/>
  <c r="J166" i="13"/>
  <c r="D190" i="13"/>
  <c r="N166" i="13"/>
  <c r="U59" i="13"/>
  <c r="E135" i="13"/>
  <c r="M166" i="13"/>
  <c r="T59" i="13"/>
  <c r="S190" i="13"/>
  <c r="O59" i="13"/>
  <c r="H166" i="13"/>
  <c r="B166" i="13"/>
  <c r="I59" i="13"/>
  <c r="AZ59" i="13" s="1"/>
  <c r="M135" i="13"/>
  <c r="AU100" i="13"/>
  <c r="AY100" i="13"/>
  <c r="BC100" i="13"/>
  <c r="BG100" i="13"/>
  <c r="BK100" i="13"/>
  <c r="BO100" i="13"/>
  <c r="AW100" i="13"/>
  <c r="BB100" i="13"/>
  <c r="BH100" i="13"/>
  <c r="BM100" i="13"/>
  <c r="BA100" i="13"/>
  <c r="BI100" i="13"/>
  <c r="BP100" i="13"/>
  <c r="BD100" i="13"/>
  <c r="BL100" i="13"/>
  <c r="AV100" i="13"/>
  <c r="BE100" i="13"/>
  <c r="BN100" i="13"/>
  <c r="AX100" i="13"/>
  <c r="BQ100" i="13"/>
  <c r="AZ100" i="13"/>
  <c r="BF100" i="13"/>
  <c r="BJ100" i="13"/>
  <c r="AT100" i="13"/>
  <c r="V59" i="13"/>
  <c r="O166" i="13"/>
  <c r="Y166" i="13"/>
  <c r="AY59" i="13"/>
  <c r="B190" i="13"/>
  <c r="F166" i="13"/>
  <c r="M59" i="13"/>
  <c r="F135" i="13"/>
  <c r="T166" i="13"/>
  <c r="AA59" i="13"/>
  <c r="G166" i="13"/>
  <c r="N59" i="13"/>
  <c r="V190" i="13"/>
  <c r="U190" i="13"/>
  <c r="E166" i="13"/>
  <c r="L59" i="13"/>
  <c r="W190" i="13"/>
  <c r="D135" i="13"/>
  <c r="N190" i="13"/>
  <c r="X166" i="13"/>
  <c r="AE59" i="13"/>
  <c r="K190" i="13"/>
  <c r="O190" i="13"/>
  <c r="J190" i="13"/>
  <c r="J135" i="13"/>
  <c r="G190" i="13"/>
  <c r="A102" i="13"/>
  <c r="AS101" i="13"/>
  <c r="G135" i="13"/>
  <c r="R59" i="13"/>
  <c r="K166" i="13"/>
  <c r="Y59" i="13"/>
  <c r="R166" i="13"/>
  <c r="I190" i="13"/>
  <c r="V166" i="13"/>
  <c r="AC59" i="13"/>
  <c r="I135" i="13"/>
  <c r="X59" i="13"/>
  <c r="Q166" i="13"/>
  <c r="U166" i="13"/>
  <c r="AB59" i="13"/>
  <c r="Z59" i="13"/>
  <c r="S166" i="13"/>
  <c r="L135" i="13"/>
  <c r="P190" i="13"/>
  <c r="W166" i="13"/>
  <c r="AD59" i="13"/>
  <c r="I166" i="13"/>
  <c r="P59" i="13"/>
  <c r="B135" i="13"/>
  <c r="R190" i="13"/>
  <c r="E190" i="13"/>
  <c r="D166" i="13"/>
  <c r="K59" i="13"/>
  <c r="Q190" i="13"/>
  <c r="H190" i="13"/>
  <c r="C135" i="13"/>
  <c r="W59" i="13"/>
  <c r="P166" i="13"/>
  <c r="C190" i="13"/>
  <c r="K135" i="13"/>
  <c r="L190" i="13"/>
  <c r="X135" i="13"/>
  <c r="F57" i="13"/>
  <c r="F56" i="13" s="1"/>
  <c r="F55" i="13" s="1"/>
  <c r="F54" i="13" s="1"/>
  <c r="F53" i="13" s="1"/>
  <c r="F52" i="13" s="1"/>
  <c r="F51" i="13" s="1"/>
  <c r="G12" i="12"/>
  <c r="G12" i="11"/>
  <c r="I31" i="2"/>
  <c r="I33" i="2"/>
  <c r="F25" i="5"/>
  <c r="F26" i="5"/>
  <c r="H6" i="3"/>
  <c r="I6" i="10" s="1"/>
  <c r="AL6" i="10" s="1"/>
  <c r="G6" i="3"/>
  <c r="H6" i="10" s="1"/>
  <c r="AK6" i="10" s="1"/>
  <c r="H5" i="3"/>
  <c r="I5" i="10" s="1"/>
  <c r="AL5" i="10" s="1"/>
  <c r="G5" i="3"/>
  <c r="H5" i="10" s="1"/>
  <c r="AK5" i="10" s="1"/>
  <c r="H4" i="3"/>
  <c r="I4" i="10" s="1"/>
  <c r="AL4" i="10" s="1"/>
  <c r="AL34" i="10" s="1"/>
  <c r="G4" i="3"/>
  <c r="H4" i="10" s="1"/>
  <c r="AK4" i="10" s="1"/>
  <c r="F13" i="7"/>
  <c r="G5" i="7"/>
  <c r="G7" i="7"/>
  <c r="D9" i="7"/>
  <c r="D8" i="7"/>
  <c r="D6" i="7"/>
  <c r="D4" i="7"/>
  <c r="G4" i="7" s="1"/>
  <c r="D3" i="7"/>
  <c r="D2" i="7"/>
  <c r="G2" i="7" s="1"/>
  <c r="AK34" i="10" l="1"/>
  <c r="Y144" i="13"/>
  <c r="Y143" i="13" s="1"/>
  <c r="Y142" i="13" s="1"/>
  <c r="Y141" i="13" s="1"/>
  <c r="Y140" i="13" s="1"/>
  <c r="Y139" i="13" s="1"/>
  <c r="Y138" i="13" s="1"/>
  <c r="Y137" i="13" s="1"/>
  <c r="Y136" i="13" s="1"/>
  <c r="Y135" i="13" s="1"/>
  <c r="AY56" i="13" s="1"/>
  <c r="CP56" i="13" s="1"/>
  <c r="Z124" i="13"/>
  <c r="AU55" i="13"/>
  <c r="BR101" i="13"/>
  <c r="BS101" i="13"/>
  <c r="BT101" i="13"/>
  <c r="Z201" i="13"/>
  <c r="AB201" i="13"/>
  <c r="AA124" i="13"/>
  <c r="AV55" i="13"/>
  <c r="AA201" i="13"/>
  <c r="AB124" i="13"/>
  <c r="AW55" i="13"/>
  <c r="G14" i="11"/>
  <c r="G13" i="11" s="1"/>
  <c r="G14" i="12"/>
  <c r="G13" i="12" s="1"/>
  <c r="CB101" i="13"/>
  <c r="CC101" i="13"/>
  <c r="BZ101" i="13"/>
  <c r="CA101" i="13"/>
  <c r="AH194" i="13"/>
  <c r="AJ194" i="13"/>
  <c r="AH255" i="13"/>
  <c r="AK68" i="13" s="1"/>
  <c r="CB68" i="13" s="1"/>
  <c r="DV68" i="13" s="1"/>
  <c r="AK194" i="13"/>
  <c r="AH170" i="13"/>
  <c r="AI194" i="13"/>
  <c r="AK170" i="13"/>
  <c r="AI254" i="13"/>
  <c r="AJ254" i="13"/>
  <c r="AJ170" i="13"/>
  <c r="AI170" i="13"/>
  <c r="BV101" i="13"/>
  <c r="CD101" i="13"/>
  <c r="CH101" i="13"/>
  <c r="CF101" i="13"/>
  <c r="BY101" i="13"/>
  <c r="BW101" i="13"/>
  <c r="CE101" i="13"/>
  <c r="CI101" i="13"/>
  <c r="BX101" i="13"/>
  <c r="CJ101" i="13"/>
  <c r="BU101" i="13"/>
  <c r="CG101" i="13"/>
  <c r="BQ59" i="13"/>
  <c r="DK59" i="13" s="1"/>
  <c r="BI59" i="13"/>
  <c r="DC59" i="13" s="1"/>
  <c r="BF59" i="13"/>
  <c r="CZ59" i="13" s="1"/>
  <c r="BJ59" i="13"/>
  <c r="DD59" i="13" s="1"/>
  <c r="AR168" i="13"/>
  <c r="BN59" i="13"/>
  <c r="DH59" i="13" s="1"/>
  <c r="BV59" i="13"/>
  <c r="DP59" i="13" s="1"/>
  <c r="BD59" i="13"/>
  <c r="CX59" i="13" s="1"/>
  <c r="BH59" i="13"/>
  <c r="DB59" i="13" s="1"/>
  <c r="AN193" i="13"/>
  <c r="AQ168" i="13"/>
  <c r="AL132" i="13"/>
  <c r="AO168" i="13"/>
  <c r="AM253" i="13"/>
  <c r="AL252" i="13"/>
  <c r="AQ192" i="13"/>
  <c r="BT59" i="13"/>
  <c r="DN59" i="13" s="1"/>
  <c r="BG59" i="13"/>
  <c r="DA59" i="13" s="1"/>
  <c r="BO59" i="13"/>
  <c r="DI59" i="13" s="1"/>
  <c r="CP59" i="13"/>
  <c r="EJ59" i="13" s="1"/>
  <c r="BA59" i="13"/>
  <c r="CU59" i="13" s="1"/>
  <c r="AP168" i="13"/>
  <c r="AM132" i="13"/>
  <c r="BB59" i="13"/>
  <c r="CV59" i="13" s="1"/>
  <c r="BS59" i="13"/>
  <c r="DM59" i="13" s="1"/>
  <c r="BR59" i="13"/>
  <c r="DL59" i="13" s="1"/>
  <c r="CT59" i="13"/>
  <c r="EK59" i="13"/>
  <c r="BL59" i="13"/>
  <c r="DF59" i="13" s="1"/>
  <c r="AO252" i="13"/>
  <c r="AG168" i="13"/>
  <c r="AR132" i="13"/>
  <c r="AR253" i="13"/>
  <c r="AL169" i="13"/>
  <c r="AF168" i="13"/>
  <c r="AE168" i="13"/>
  <c r="AC192" i="13"/>
  <c r="AP132" i="13"/>
  <c r="AG253" i="13"/>
  <c r="AD168" i="13"/>
  <c r="AP252" i="13"/>
  <c r="BU59" i="13"/>
  <c r="DO59" i="13" s="1"/>
  <c r="BP59" i="13"/>
  <c r="DJ59" i="13" s="1"/>
  <c r="BK59" i="13"/>
  <c r="DE59" i="13" s="1"/>
  <c r="AQ254" i="13"/>
  <c r="AE252" i="13"/>
  <c r="BC59" i="13"/>
  <c r="CW59" i="13" s="1"/>
  <c r="BE59" i="13"/>
  <c r="CY59" i="13" s="1"/>
  <c r="BM59" i="13"/>
  <c r="DG59" i="13" s="1"/>
  <c r="AN168" i="13"/>
  <c r="AC253" i="13"/>
  <c r="AN252" i="13"/>
  <c r="AE192" i="13"/>
  <c r="AD253" i="13"/>
  <c r="AL192" i="13"/>
  <c r="AM192" i="13"/>
  <c r="AQ132" i="13"/>
  <c r="AD192" i="13"/>
  <c r="AO132" i="13"/>
  <c r="AF192" i="13"/>
  <c r="AF252" i="13"/>
  <c r="AR192" i="13"/>
  <c r="AM168" i="13"/>
  <c r="AN132" i="13"/>
  <c r="AP192" i="13"/>
  <c r="AG192" i="13"/>
  <c r="AO192" i="13"/>
  <c r="AC168" i="13"/>
  <c r="D134" i="13"/>
  <c r="K56" i="13"/>
  <c r="BB56" i="13" s="1"/>
  <c r="M134" i="13"/>
  <c r="T56" i="13"/>
  <c r="BK56" i="13" s="1"/>
  <c r="H167" i="13"/>
  <c r="S191" i="13"/>
  <c r="L191" i="13"/>
  <c r="R191" i="13"/>
  <c r="I167" i="13"/>
  <c r="X56" i="13"/>
  <c r="BO56" i="13" s="1"/>
  <c r="Z56" i="13"/>
  <c r="BQ56" i="13" s="1"/>
  <c r="AD56" i="13"/>
  <c r="BU56" i="13" s="1"/>
  <c r="X191" i="13"/>
  <c r="AC56" i="13"/>
  <c r="BT56" i="13" s="1"/>
  <c r="F191" i="13"/>
  <c r="P167" i="13"/>
  <c r="C134" i="13"/>
  <c r="J56" i="13"/>
  <c r="BA56" i="13" s="1"/>
  <c r="Q191" i="13"/>
  <c r="Q167" i="13"/>
  <c r="I134" i="13"/>
  <c r="P56" i="13"/>
  <c r="BG56" i="13" s="1"/>
  <c r="Y134" i="13"/>
  <c r="W191" i="13"/>
  <c r="T167" i="13"/>
  <c r="AB56" i="13"/>
  <c r="BS56" i="13" s="1"/>
  <c r="Y167" i="13"/>
  <c r="B167" i="13"/>
  <c r="M167" i="13"/>
  <c r="D191" i="13"/>
  <c r="M191" i="13"/>
  <c r="H191" i="13"/>
  <c r="D167" i="13"/>
  <c r="W167" i="13"/>
  <c r="S167" i="13"/>
  <c r="U167" i="13"/>
  <c r="V167" i="13"/>
  <c r="R167" i="13"/>
  <c r="AV101" i="13"/>
  <c r="AZ101" i="13"/>
  <c r="BD101" i="13"/>
  <c r="BH101" i="13"/>
  <c r="BL101" i="13"/>
  <c r="BP101" i="13"/>
  <c r="AU101" i="13"/>
  <c r="BA101" i="13"/>
  <c r="BF101" i="13"/>
  <c r="BK101" i="13"/>
  <c r="BQ101" i="13"/>
  <c r="AY101" i="13"/>
  <c r="BG101" i="13"/>
  <c r="BN101" i="13"/>
  <c r="AX101" i="13"/>
  <c r="BI101" i="13"/>
  <c r="BB101" i="13"/>
  <c r="BJ101" i="13"/>
  <c r="BM101" i="13"/>
  <c r="AW101" i="13"/>
  <c r="BO101" i="13"/>
  <c r="BC101" i="13"/>
  <c r="BE101" i="13"/>
  <c r="AT101" i="13"/>
  <c r="N191" i="13"/>
  <c r="E167" i="13"/>
  <c r="B191" i="13"/>
  <c r="O167" i="13"/>
  <c r="C191" i="13"/>
  <c r="E191" i="13"/>
  <c r="A103" i="13"/>
  <c r="AS102" i="13"/>
  <c r="Q56" i="13"/>
  <c r="BH56" i="13" s="1"/>
  <c r="J134" i="13"/>
  <c r="O191" i="13"/>
  <c r="X167" i="13"/>
  <c r="V191" i="13"/>
  <c r="M56" i="13"/>
  <c r="BD56" i="13" s="1"/>
  <c r="F134" i="13"/>
  <c r="AA56" i="13"/>
  <c r="BR56" i="13" s="1"/>
  <c r="X134" i="13"/>
  <c r="AE56" i="13"/>
  <c r="BV56" i="13" s="1"/>
  <c r="R56" i="13"/>
  <c r="BI56" i="13" s="1"/>
  <c r="K134" i="13"/>
  <c r="V56" i="13"/>
  <c r="BM56" i="13" s="1"/>
  <c r="W56" i="13"/>
  <c r="BN56" i="13" s="1"/>
  <c r="I56" i="13"/>
  <c r="AZ56" i="13" s="1"/>
  <c r="B134" i="13"/>
  <c r="P191" i="13"/>
  <c r="L134" i="13"/>
  <c r="S56" i="13"/>
  <c r="BJ56" i="13" s="1"/>
  <c r="I191" i="13"/>
  <c r="K167" i="13"/>
  <c r="G134" i="13"/>
  <c r="N56" i="13"/>
  <c r="BE56" i="13" s="1"/>
  <c r="G191" i="13"/>
  <c r="J191" i="13"/>
  <c r="K191" i="13"/>
  <c r="U191" i="13"/>
  <c r="G167" i="13"/>
  <c r="Y56" i="13"/>
  <c r="BP56" i="13" s="1"/>
  <c r="F167" i="13"/>
  <c r="E134" i="13"/>
  <c r="L56" i="13"/>
  <c r="BC56" i="13" s="1"/>
  <c r="N167" i="13"/>
  <c r="J167" i="13"/>
  <c r="Y191" i="13"/>
  <c r="L167" i="13"/>
  <c r="C167" i="13"/>
  <c r="U56" i="13"/>
  <c r="BL56" i="13" s="1"/>
  <c r="H134" i="13"/>
  <c r="O56" i="13"/>
  <c r="BF56" i="13" s="1"/>
  <c r="T191" i="13"/>
  <c r="G11" i="12"/>
  <c r="G11" i="11"/>
  <c r="G73" i="3"/>
  <c r="I34" i="5" s="1"/>
  <c r="H73" i="3"/>
  <c r="S16" i="2" s="1"/>
  <c r="AA4" i="3"/>
  <c r="R6" i="3"/>
  <c r="AB123" i="13" l="1"/>
  <c r="AA123" i="13"/>
  <c r="Z202" i="13"/>
  <c r="BR102" i="13"/>
  <c r="BS102" i="13"/>
  <c r="BT102" i="13"/>
  <c r="AA202" i="13"/>
  <c r="AB202" i="13"/>
  <c r="Z123" i="13"/>
  <c r="I35" i="5"/>
  <c r="CB102" i="13"/>
  <c r="CC102" i="13"/>
  <c r="BZ102" i="13"/>
  <c r="CA102" i="13"/>
  <c r="AJ171" i="13"/>
  <c r="AI255" i="13"/>
  <c r="AL68" i="13" s="1"/>
  <c r="CC68" i="13" s="1"/>
  <c r="DW68" i="13" s="1"/>
  <c r="AI195" i="13"/>
  <c r="AL62" i="13" s="1"/>
  <c r="CC62" i="13" s="1"/>
  <c r="AK195" i="13"/>
  <c r="AN62" i="13" s="1"/>
  <c r="CE62" i="13" s="1"/>
  <c r="AJ195" i="13"/>
  <c r="AM62" i="13" s="1"/>
  <c r="CD62" i="13" s="1"/>
  <c r="AI171" i="13"/>
  <c r="AJ255" i="13"/>
  <c r="AM68" i="13" s="1"/>
  <c r="CD68" i="13" s="1"/>
  <c r="DX68" i="13" s="1"/>
  <c r="AK171" i="13"/>
  <c r="AH171" i="13"/>
  <c r="AH256" i="13"/>
  <c r="AH195" i="13"/>
  <c r="AK62" i="13" s="1"/>
  <c r="CB62" i="13" s="1"/>
  <c r="BV102" i="13"/>
  <c r="CD102" i="13"/>
  <c r="CH102" i="13"/>
  <c r="BX102" i="13"/>
  <c r="CJ102" i="13"/>
  <c r="BY102" i="13"/>
  <c r="BW102" i="13"/>
  <c r="CE102" i="13"/>
  <c r="CI102" i="13"/>
  <c r="CF102" i="13"/>
  <c r="BU102" i="13"/>
  <c r="CG102" i="13"/>
  <c r="AL170" i="13"/>
  <c r="AO193" i="13"/>
  <c r="AM169" i="13"/>
  <c r="AO131" i="13"/>
  <c r="AM193" i="13"/>
  <c r="AN253" i="13"/>
  <c r="AP169" i="13"/>
  <c r="AL253" i="13"/>
  <c r="AQ169" i="13"/>
  <c r="AE253" i="13"/>
  <c r="AQ255" i="13"/>
  <c r="AT68" i="13" s="1"/>
  <c r="CK68" i="13" s="1"/>
  <c r="EE68" i="13" s="1"/>
  <c r="AP253" i="13"/>
  <c r="AG254" i="13"/>
  <c r="AC193" i="13"/>
  <c r="AF169" i="13"/>
  <c r="AR254" i="13"/>
  <c r="AG169" i="13"/>
  <c r="AD169" i="13"/>
  <c r="AP131" i="13"/>
  <c r="AE169" i="13"/>
  <c r="AR131" i="13"/>
  <c r="AO253" i="13"/>
  <c r="AP193" i="13"/>
  <c r="AF253" i="13"/>
  <c r="AD193" i="13"/>
  <c r="AD254" i="13"/>
  <c r="AN169" i="13"/>
  <c r="AO169" i="13"/>
  <c r="AR169" i="13"/>
  <c r="EK56" i="13"/>
  <c r="AC169" i="13"/>
  <c r="AG193" i="13"/>
  <c r="AN131" i="13"/>
  <c r="AR193" i="13"/>
  <c r="AF193" i="13"/>
  <c r="AQ131" i="13"/>
  <c r="AL193" i="13"/>
  <c r="AE193" i="13"/>
  <c r="AC254" i="13"/>
  <c r="AM131" i="13"/>
  <c r="AQ193" i="13"/>
  <c r="AM254" i="13"/>
  <c r="AL131" i="13"/>
  <c r="AN194" i="13"/>
  <c r="DF56" i="13"/>
  <c r="F168" i="13"/>
  <c r="CY56" i="13"/>
  <c r="DH56" i="13"/>
  <c r="X168" i="13"/>
  <c r="Y133" i="13"/>
  <c r="Q192" i="13"/>
  <c r="X192" i="13"/>
  <c r="DE56" i="13"/>
  <c r="D133" i="13"/>
  <c r="DJ56" i="13"/>
  <c r="G168" i="13"/>
  <c r="J192" i="13"/>
  <c r="DD56" i="13"/>
  <c r="CT56" i="13"/>
  <c r="K133" i="13"/>
  <c r="O168" i="13"/>
  <c r="R168" i="13"/>
  <c r="W168" i="13"/>
  <c r="H192" i="13"/>
  <c r="CU56" i="13"/>
  <c r="P168" i="13"/>
  <c r="DO56" i="13"/>
  <c r="DI56" i="13"/>
  <c r="I168" i="13"/>
  <c r="L192" i="13"/>
  <c r="S192" i="13"/>
  <c r="M133" i="13"/>
  <c r="I192" i="13"/>
  <c r="L133" i="13"/>
  <c r="DG56" i="13"/>
  <c r="DC56" i="13"/>
  <c r="F133" i="13"/>
  <c r="V192" i="13"/>
  <c r="O192" i="13"/>
  <c r="AW102" i="13"/>
  <c r="BA102" i="13"/>
  <c r="BE102" i="13"/>
  <c r="BI102" i="13"/>
  <c r="BM102" i="13"/>
  <c r="BQ102" i="13"/>
  <c r="AY102" i="13"/>
  <c r="BD102" i="13"/>
  <c r="BJ102" i="13"/>
  <c r="BO102" i="13"/>
  <c r="AX102" i="13"/>
  <c r="BF102" i="13"/>
  <c r="BL102" i="13"/>
  <c r="AU102" i="13"/>
  <c r="BC102" i="13"/>
  <c r="BN102" i="13"/>
  <c r="AV102" i="13"/>
  <c r="BG102" i="13"/>
  <c r="BP102" i="13"/>
  <c r="BH102" i="13"/>
  <c r="BK102" i="13"/>
  <c r="AZ102" i="13"/>
  <c r="BB102" i="13"/>
  <c r="AT102" i="13"/>
  <c r="T168" i="13"/>
  <c r="W192" i="13"/>
  <c r="DA56" i="13"/>
  <c r="Q168" i="13"/>
  <c r="C133" i="13"/>
  <c r="CZ56" i="13"/>
  <c r="CW56" i="13"/>
  <c r="K168" i="13"/>
  <c r="B133" i="13"/>
  <c r="DP56" i="13"/>
  <c r="DB56" i="13"/>
  <c r="DM56" i="13"/>
  <c r="DK56" i="13"/>
  <c r="H133" i="13"/>
  <c r="L168" i="13"/>
  <c r="J168" i="13"/>
  <c r="E133" i="13"/>
  <c r="G133" i="13"/>
  <c r="P192" i="13"/>
  <c r="X133" i="13"/>
  <c r="C192" i="13"/>
  <c r="E168" i="13"/>
  <c r="U168" i="13"/>
  <c r="B168" i="13"/>
  <c r="DN56" i="13"/>
  <c r="T192" i="13"/>
  <c r="C168" i="13"/>
  <c r="Y192" i="13"/>
  <c r="N168" i="13"/>
  <c r="U192" i="13"/>
  <c r="K192" i="13"/>
  <c r="G192" i="13"/>
  <c r="DL56" i="13"/>
  <c r="CX56" i="13"/>
  <c r="J133" i="13"/>
  <c r="A104" i="13"/>
  <c r="AS104" i="13" s="1"/>
  <c r="AS103" i="13"/>
  <c r="E192" i="13"/>
  <c r="B192" i="13"/>
  <c r="N192" i="13"/>
  <c r="V168" i="13"/>
  <c r="S168" i="13"/>
  <c r="D168" i="13"/>
  <c r="M192" i="13"/>
  <c r="D192" i="13"/>
  <c r="M168" i="13"/>
  <c r="Y168" i="13"/>
  <c r="EJ56" i="13"/>
  <c r="I133" i="13"/>
  <c r="F192" i="13"/>
  <c r="R192" i="13"/>
  <c r="H168" i="13"/>
  <c r="CV56" i="13"/>
  <c r="G10" i="11"/>
  <c r="G10" i="12"/>
  <c r="L26" i="2"/>
  <c r="L24" i="2"/>
  <c r="L25" i="2"/>
  <c r="R7" i="3"/>
  <c r="F6" i="7"/>
  <c r="C33" i="6"/>
  <c r="C32" i="6"/>
  <c r="C31" i="6"/>
  <c r="C30" i="6"/>
  <c r="C4" i="6"/>
  <c r="C5" i="6"/>
  <c r="C6" i="6"/>
  <c r="C7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AB203" i="13" l="1"/>
  <c r="Z122" i="13"/>
  <c r="AA203" i="13"/>
  <c r="BS103" i="13"/>
  <c r="BT103" i="13"/>
  <c r="BR103" i="13"/>
  <c r="AA122" i="13"/>
  <c r="Z203" i="13"/>
  <c r="AB122" i="13"/>
  <c r="DV62" i="13"/>
  <c r="DY62" i="13"/>
  <c r="DW62" i="13"/>
  <c r="DX62" i="13"/>
  <c r="CA104" i="13"/>
  <c r="CC104" i="13"/>
  <c r="CB104" i="13"/>
  <c r="BZ104" i="13"/>
  <c r="CB103" i="13"/>
  <c r="CC103" i="13"/>
  <c r="BZ103" i="13"/>
  <c r="CA103" i="13"/>
  <c r="AH257" i="13"/>
  <c r="AK172" i="13"/>
  <c r="AI172" i="13"/>
  <c r="AK196" i="13"/>
  <c r="AI256" i="13"/>
  <c r="AH196" i="13"/>
  <c r="AH172" i="13"/>
  <c r="AJ256" i="13"/>
  <c r="AJ196" i="13"/>
  <c r="AI196" i="13"/>
  <c r="AJ172" i="13"/>
  <c r="BV103" i="13"/>
  <c r="CD103" i="13"/>
  <c r="CH103" i="13"/>
  <c r="CF103" i="13"/>
  <c r="BU103" i="13"/>
  <c r="CG103" i="13"/>
  <c r="BW103" i="13"/>
  <c r="CE103" i="13"/>
  <c r="CI103" i="13"/>
  <c r="BX103" i="13"/>
  <c r="CJ103" i="13"/>
  <c r="BY103" i="13"/>
  <c r="AL254" i="13"/>
  <c r="AN254" i="13"/>
  <c r="AN195" i="13"/>
  <c r="AQ62" i="13" s="1"/>
  <c r="CH62" i="13" s="1"/>
  <c r="AM255" i="13"/>
  <c r="AP68" i="13" s="1"/>
  <c r="CG68" i="13" s="1"/>
  <c r="EA68" i="13" s="1"/>
  <c r="AC255" i="13"/>
  <c r="AF68" i="13" s="1"/>
  <c r="BW68" i="13" s="1"/>
  <c r="AN170" i="13"/>
  <c r="AP194" i="13"/>
  <c r="AR130" i="13"/>
  <c r="AP130" i="13"/>
  <c r="AR255" i="13"/>
  <c r="AX68" i="13" s="1"/>
  <c r="CO68" i="13" s="1"/>
  <c r="EI68" i="13" s="1"/>
  <c r="AG255" i="13"/>
  <c r="AJ68" i="13" s="1"/>
  <c r="CA68" i="13" s="1"/>
  <c r="AQ256" i="13"/>
  <c r="AP170" i="13"/>
  <c r="AM170" i="13"/>
  <c r="AO194" i="13"/>
  <c r="AL194" i="13"/>
  <c r="AR194" i="13"/>
  <c r="AG194" i="13"/>
  <c r="AR170" i="13"/>
  <c r="AD194" i="13"/>
  <c r="AC194" i="13"/>
  <c r="AQ170" i="13"/>
  <c r="AM194" i="13"/>
  <c r="AL130" i="13"/>
  <c r="AQ194" i="13"/>
  <c r="AM130" i="13"/>
  <c r="AE194" i="13"/>
  <c r="AQ130" i="13"/>
  <c r="AF194" i="13"/>
  <c r="AN130" i="13"/>
  <c r="AC170" i="13"/>
  <c r="AO170" i="13"/>
  <c r="AD255" i="13"/>
  <c r="AG68" i="13" s="1"/>
  <c r="BX68" i="13" s="1"/>
  <c r="AF254" i="13"/>
  <c r="AO254" i="13"/>
  <c r="AE170" i="13"/>
  <c r="AD170" i="13"/>
  <c r="AG170" i="13"/>
  <c r="AF170" i="13"/>
  <c r="AP254" i="13"/>
  <c r="AE254" i="13"/>
  <c r="AO130" i="13"/>
  <c r="AL171" i="13"/>
  <c r="H169" i="13"/>
  <c r="M193" i="13"/>
  <c r="E193" i="13"/>
  <c r="K193" i="13"/>
  <c r="C169" i="13"/>
  <c r="E169" i="13"/>
  <c r="G132" i="13"/>
  <c r="H132" i="13"/>
  <c r="C132" i="13"/>
  <c r="V193" i="13"/>
  <c r="L132" i="13"/>
  <c r="S193" i="13"/>
  <c r="F169" i="13"/>
  <c r="AX103" i="13"/>
  <c r="BB103" i="13"/>
  <c r="BF103" i="13"/>
  <c r="BJ103" i="13"/>
  <c r="BN103" i="13"/>
  <c r="AW103" i="13"/>
  <c r="BC103" i="13"/>
  <c r="BH103" i="13"/>
  <c r="BM103" i="13"/>
  <c r="AV103" i="13"/>
  <c r="BD103" i="13"/>
  <c r="BK103" i="13"/>
  <c r="BQ103" i="13"/>
  <c r="AZ103" i="13"/>
  <c r="BI103" i="13"/>
  <c r="AT103" i="13"/>
  <c r="BA103" i="13"/>
  <c r="BL103" i="13"/>
  <c r="BE103" i="13"/>
  <c r="BG103" i="13"/>
  <c r="BO103" i="13"/>
  <c r="BP103" i="13"/>
  <c r="AU103" i="13"/>
  <c r="AY103" i="13"/>
  <c r="F193" i="13"/>
  <c r="M169" i="13"/>
  <c r="S169" i="13"/>
  <c r="N193" i="13"/>
  <c r="J132" i="13"/>
  <c r="N169" i="13"/>
  <c r="T193" i="13"/>
  <c r="B169" i="13"/>
  <c r="X132" i="13"/>
  <c r="J169" i="13"/>
  <c r="B132" i="13"/>
  <c r="T169" i="13"/>
  <c r="I169" i="13"/>
  <c r="P169" i="13"/>
  <c r="W169" i="13"/>
  <c r="O169" i="13"/>
  <c r="J193" i="13"/>
  <c r="Q193" i="13"/>
  <c r="X169" i="13"/>
  <c r="R193" i="13"/>
  <c r="I132" i="13"/>
  <c r="Y169" i="13"/>
  <c r="D193" i="13"/>
  <c r="D169" i="13"/>
  <c r="V169" i="13"/>
  <c r="B193" i="13"/>
  <c r="A105" i="13"/>
  <c r="AS105" i="13" s="1"/>
  <c r="G193" i="13"/>
  <c r="U193" i="13"/>
  <c r="Y193" i="13"/>
  <c r="U169" i="13"/>
  <c r="C193" i="13"/>
  <c r="P193" i="13"/>
  <c r="E132" i="13"/>
  <c r="L169" i="13"/>
  <c r="K169" i="13"/>
  <c r="Q169" i="13"/>
  <c r="W193" i="13"/>
  <c r="O193" i="13"/>
  <c r="F132" i="13"/>
  <c r="I193" i="13"/>
  <c r="M132" i="13"/>
  <c r="L193" i="13"/>
  <c r="H193" i="13"/>
  <c r="R169" i="13"/>
  <c r="K132" i="13"/>
  <c r="G169" i="13"/>
  <c r="D132" i="13"/>
  <c r="X193" i="13"/>
  <c r="Y132" i="13"/>
  <c r="D21" i="12"/>
  <c r="D18" i="11"/>
  <c r="D21" i="11"/>
  <c r="D7" i="11"/>
  <c r="D8" i="11"/>
  <c r="D10" i="11"/>
  <c r="D23" i="11"/>
  <c r="D17" i="12"/>
  <c r="D18" i="12"/>
  <c r="D8" i="12"/>
  <c r="D15" i="12"/>
  <c r="D15" i="11"/>
  <c r="D14" i="11"/>
  <c r="D12" i="11"/>
  <c r="D7" i="12"/>
  <c r="D16" i="11"/>
  <c r="D11" i="11"/>
  <c r="D5" i="11"/>
  <c r="D17" i="11"/>
  <c r="D12" i="12"/>
  <c r="D5" i="12"/>
  <c r="D10" i="12"/>
  <c r="D16" i="12"/>
  <c r="D19" i="11"/>
  <c r="D9" i="11"/>
  <c r="D9" i="12"/>
  <c r="D13" i="12"/>
  <c r="D22" i="11"/>
  <c r="D6" i="11"/>
  <c r="D13" i="11"/>
  <c r="D22" i="12"/>
  <c r="D23" i="12"/>
  <c r="D11" i="12"/>
  <c r="D6" i="12"/>
  <c r="D14" i="12"/>
  <c r="D20" i="11"/>
  <c r="D19" i="12"/>
  <c r="D20" i="12"/>
  <c r="G9" i="12"/>
  <c r="G9" i="11"/>
  <c r="D32" i="2"/>
  <c r="O32" i="2" s="1"/>
  <c r="D7" i="2"/>
  <c r="O7" i="2" s="1"/>
  <c r="D8" i="2"/>
  <c r="O8" i="2" s="1"/>
  <c r="D31" i="2"/>
  <c r="O31" i="2" s="1"/>
  <c r="D6" i="2"/>
  <c r="O6" i="2" s="1"/>
  <c r="D34" i="2"/>
  <c r="O34" i="2" s="1"/>
  <c r="D5" i="2"/>
  <c r="D33" i="2"/>
  <c r="O33" i="2" s="1"/>
  <c r="R8" i="3"/>
  <c r="G12" i="2"/>
  <c r="Z84" i="14" s="1"/>
  <c r="G14" i="2"/>
  <c r="Z86" i="14" s="1"/>
  <c r="S12" i="2"/>
  <c r="F66" i="13" s="1"/>
  <c r="S15" i="2"/>
  <c r="L30" i="2" s="1"/>
  <c r="L27" i="2" s="1"/>
  <c r="L28" i="2" s="1"/>
  <c r="L29" i="2" s="1"/>
  <c r="O5" i="2" l="1"/>
  <c r="J5" i="2"/>
  <c r="AA121" i="13"/>
  <c r="Z204" i="13"/>
  <c r="Z121" i="13"/>
  <c r="AB121" i="13"/>
  <c r="AA204" i="13"/>
  <c r="AB204" i="13"/>
  <c r="DU68" i="13"/>
  <c r="EB62" i="13"/>
  <c r="DR68" i="13"/>
  <c r="DQ68" i="13"/>
  <c r="CC105" i="13"/>
  <c r="CB105" i="13"/>
  <c r="CA105" i="13"/>
  <c r="BZ105" i="13"/>
  <c r="AI197" i="13"/>
  <c r="AJ257" i="13"/>
  <c r="AH197" i="13"/>
  <c r="AK197" i="13"/>
  <c r="AK173" i="13"/>
  <c r="AJ173" i="13"/>
  <c r="AJ197" i="13"/>
  <c r="AH173" i="13"/>
  <c r="AI257" i="13"/>
  <c r="AI173" i="13"/>
  <c r="AH258" i="13"/>
  <c r="J5" i="11"/>
  <c r="J18" i="11"/>
  <c r="J6" i="11"/>
  <c r="J9" i="11"/>
  <c r="J11" i="11"/>
  <c r="J14" i="11"/>
  <c r="J8" i="11"/>
  <c r="J10" i="11"/>
  <c r="J22" i="11"/>
  <c r="J19" i="11"/>
  <c r="J16" i="11"/>
  <c r="J15" i="11"/>
  <c r="J7" i="11"/>
  <c r="J13" i="11"/>
  <c r="J12" i="11"/>
  <c r="J20" i="11"/>
  <c r="J17" i="11"/>
  <c r="J23" i="11"/>
  <c r="K23" i="11" s="1"/>
  <c r="L23" i="11" s="1"/>
  <c r="J21" i="11"/>
  <c r="AP255" i="13"/>
  <c r="AS68" i="13" s="1"/>
  <c r="CJ68" i="13" s="1"/>
  <c r="ED68" i="13" s="1"/>
  <c r="AD171" i="13"/>
  <c r="AC171" i="13"/>
  <c r="AE195" i="13"/>
  <c r="AH62" i="13" s="1"/>
  <c r="BY62" i="13" s="1"/>
  <c r="AM195" i="13"/>
  <c r="AP62" i="13" s="1"/>
  <c r="CG62" i="13" s="1"/>
  <c r="AG195" i="13"/>
  <c r="AJ62" i="13" s="1"/>
  <c r="CA62" i="13" s="1"/>
  <c r="DU62" i="13" s="1"/>
  <c r="AN196" i="13"/>
  <c r="AO129" i="13"/>
  <c r="AF171" i="13"/>
  <c r="AO255" i="13"/>
  <c r="AR68" i="13" s="1"/>
  <c r="CI68" i="13" s="1"/>
  <c r="EC68" i="13" s="1"/>
  <c r="AD256" i="13"/>
  <c r="AF195" i="13"/>
  <c r="AI62" i="13" s="1"/>
  <c r="BZ62" i="13" s="1"/>
  <c r="AQ195" i="13"/>
  <c r="AT62" i="13" s="1"/>
  <c r="CK62" i="13" s="1"/>
  <c r="AD195" i="13"/>
  <c r="AG62" i="13" s="1"/>
  <c r="BX62" i="13" s="1"/>
  <c r="DR62" i="13" s="1"/>
  <c r="AO195" i="13"/>
  <c r="AR62" i="13" s="1"/>
  <c r="CI62" i="13" s="1"/>
  <c r="AP171" i="13"/>
  <c r="AQ257" i="13"/>
  <c r="AR256" i="13"/>
  <c r="AR129" i="13"/>
  <c r="AN171" i="13"/>
  <c r="AL255" i="13"/>
  <c r="AO68" i="13" s="1"/>
  <c r="CF68" i="13" s="1"/>
  <c r="DZ68" i="13" s="1"/>
  <c r="AL172" i="13"/>
  <c r="AE255" i="13"/>
  <c r="AH68" i="13" s="1"/>
  <c r="BY68" i="13" s="1"/>
  <c r="DS68" i="13" s="1"/>
  <c r="AG171" i="13"/>
  <c r="AE171" i="13"/>
  <c r="AF255" i="13"/>
  <c r="AI68" i="13" s="1"/>
  <c r="BZ68" i="13" s="1"/>
  <c r="DT68" i="13" s="1"/>
  <c r="AO171" i="13"/>
  <c r="AN129" i="13"/>
  <c r="AQ129" i="13"/>
  <c r="AM129" i="13"/>
  <c r="AL129" i="13"/>
  <c r="AQ171" i="13"/>
  <c r="AC195" i="13"/>
  <c r="AF62" i="13" s="1"/>
  <c r="BW62" i="13" s="1"/>
  <c r="DQ62" i="13" s="1"/>
  <c r="AR171" i="13"/>
  <c r="AR195" i="13"/>
  <c r="AX62" i="13" s="1"/>
  <c r="CO62" i="13" s="1"/>
  <c r="AL195" i="13"/>
  <c r="AO62" i="13" s="1"/>
  <c r="CF62" i="13" s="1"/>
  <c r="AM171" i="13"/>
  <c r="AG256" i="13"/>
  <c r="AP129" i="13"/>
  <c r="AP195" i="13"/>
  <c r="AS62" i="13" s="1"/>
  <c r="CJ62" i="13" s="1"/>
  <c r="AC256" i="13"/>
  <c r="AM256" i="13"/>
  <c r="AN255" i="13"/>
  <c r="AQ68" i="13" s="1"/>
  <c r="CH68" i="13" s="1"/>
  <c r="EB68" i="13" s="1"/>
  <c r="R170" i="13"/>
  <c r="M131" i="13"/>
  <c r="O194" i="13"/>
  <c r="Q170" i="13"/>
  <c r="Y194" i="13"/>
  <c r="G194" i="13"/>
  <c r="B194" i="13"/>
  <c r="Y170" i="13"/>
  <c r="R194" i="13"/>
  <c r="R131" i="13"/>
  <c r="Q131" i="13"/>
  <c r="X131" i="13"/>
  <c r="P131" i="13"/>
  <c r="N194" i="13"/>
  <c r="F170" i="13"/>
  <c r="S194" i="13"/>
  <c r="V194" i="13"/>
  <c r="H131" i="13"/>
  <c r="E170" i="13"/>
  <c r="K194" i="13"/>
  <c r="AU104" i="13"/>
  <c r="AY104" i="13"/>
  <c r="BC104" i="13"/>
  <c r="BG104" i="13"/>
  <c r="BK104" i="13"/>
  <c r="BO104" i="13"/>
  <c r="AV104" i="13"/>
  <c r="BA104" i="13"/>
  <c r="BF104" i="13"/>
  <c r="BL104" i="13"/>
  <c r="BQ104" i="13"/>
  <c r="BB104" i="13"/>
  <c r="BI104" i="13"/>
  <c r="AW104" i="13"/>
  <c r="BE104" i="13"/>
  <c r="BN104" i="13"/>
  <c r="AX104" i="13"/>
  <c r="BH104" i="13"/>
  <c r="AZ104" i="13"/>
  <c r="BD104" i="13"/>
  <c r="BJ104" i="13"/>
  <c r="BM104" i="13"/>
  <c r="AT104" i="13"/>
  <c r="Y131" i="13"/>
  <c r="D131" i="13"/>
  <c r="E131" i="13"/>
  <c r="C194" i="13"/>
  <c r="D170" i="13"/>
  <c r="Q194" i="13"/>
  <c r="O170" i="13"/>
  <c r="P170" i="13"/>
  <c r="T170" i="13"/>
  <c r="T194" i="13"/>
  <c r="M170" i="13"/>
  <c r="E194" i="13"/>
  <c r="X194" i="13"/>
  <c r="G170" i="13"/>
  <c r="K131" i="13"/>
  <c r="H194" i="13"/>
  <c r="L194" i="13"/>
  <c r="I194" i="13"/>
  <c r="F131" i="13"/>
  <c r="W194" i="13"/>
  <c r="K170" i="13"/>
  <c r="L170" i="13"/>
  <c r="P194" i="13"/>
  <c r="U170" i="13"/>
  <c r="U194" i="13"/>
  <c r="O131" i="13"/>
  <c r="A106" i="13"/>
  <c r="AS106" i="13" s="1"/>
  <c r="V170" i="13"/>
  <c r="D194" i="13"/>
  <c r="I131" i="13"/>
  <c r="X170" i="13"/>
  <c r="J194" i="13"/>
  <c r="W170" i="13"/>
  <c r="I170" i="13"/>
  <c r="B131" i="13"/>
  <c r="J170" i="13"/>
  <c r="B170" i="13"/>
  <c r="N170" i="13"/>
  <c r="J131" i="13"/>
  <c r="S170" i="13"/>
  <c r="F194" i="13"/>
  <c r="L131" i="13"/>
  <c r="C131" i="13"/>
  <c r="G131" i="13"/>
  <c r="C170" i="13"/>
  <c r="M194" i="13"/>
  <c r="H170" i="13"/>
  <c r="F67" i="13"/>
  <c r="F68" i="13" s="1"/>
  <c r="F69" i="13" s="1"/>
  <c r="F70" i="13" s="1"/>
  <c r="F71" i="13" s="1"/>
  <c r="F72" i="13" s="1"/>
  <c r="F73" i="13" s="1"/>
  <c r="F74" i="13" s="1"/>
  <c r="F75" i="13" s="1"/>
  <c r="F76" i="13" s="1"/>
  <c r="F77" i="13" s="1"/>
  <c r="F78" i="13" s="1"/>
  <c r="F79" i="13" s="1"/>
  <c r="F80" i="13" s="1"/>
  <c r="F61" i="13"/>
  <c r="F62" i="13" s="1"/>
  <c r="F63" i="13" s="1"/>
  <c r="F64" i="13" s="1"/>
  <c r="F65" i="13" s="1"/>
  <c r="E22" i="12"/>
  <c r="Q22" i="12"/>
  <c r="N22" i="12"/>
  <c r="L22" i="12"/>
  <c r="P22" i="12"/>
  <c r="O22" i="12"/>
  <c r="AA22" i="12"/>
  <c r="R22" i="12"/>
  <c r="M22" i="12"/>
  <c r="J22" i="12"/>
  <c r="S22" i="12"/>
  <c r="T22" i="12"/>
  <c r="U22" i="12"/>
  <c r="V22" i="12"/>
  <c r="W22" i="12"/>
  <c r="X22" i="12"/>
  <c r="Y22" i="12"/>
  <c r="Z22" i="12"/>
  <c r="L13" i="12"/>
  <c r="N13" i="12"/>
  <c r="M13" i="12"/>
  <c r="J13" i="12"/>
  <c r="K13" i="12" s="1"/>
  <c r="AA13" i="12"/>
  <c r="E13" i="12"/>
  <c r="R13" i="12"/>
  <c r="Q13" i="12"/>
  <c r="O13" i="12"/>
  <c r="P13" i="12"/>
  <c r="S13" i="12"/>
  <c r="T13" i="12"/>
  <c r="U13" i="12"/>
  <c r="V13" i="12"/>
  <c r="W13" i="12"/>
  <c r="X13" i="12"/>
  <c r="Z13" i="12"/>
  <c r="Y13" i="12"/>
  <c r="Q7" i="12"/>
  <c r="Y7" i="12"/>
  <c r="V7" i="12"/>
  <c r="T7" i="12"/>
  <c r="P7" i="12"/>
  <c r="W7" i="12"/>
  <c r="S7" i="12"/>
  <c r="U7" i="12"/>
  <c r="O7" i="12"/>
  <c r="M7" i="12"/>
  <c r="AA7" i="12"/>
  <c r="N7" i="12"/>
  <c r="R7" i="12"/>
  <c r="X7" i="12"/>
  <c r="Z7" i="12"/>
  <c r="L7" i="12"/>
  <c r="J7" i="12"/>
  <c r="E7" i="12"/>
  <c r="E21" i="11"/>
  <c r="N20" i="12"/>
  <c r="E20" i="12"/>
  <c r="AA20" i="12"/>
  <c r="M20" i="12"/>
  <c r="L20" i="12"/>
  <c r="J20" i="12"/>
  <c r="O20" i="12"/>
  <c r="R20" i="12"/>
  <c r="Q20" i="12"/>
  <c r="P20" i="12"/>
  <c r="S20" i="12"/>
  <c r="T20" i="12"/>
  <c r="U20" i="12"/>
  <c r="V20" i="12"/>
  <c r="W20" i="12"/>
  <c r="X20" i="12"/>
  <c r="Y20" i="12"/>
  <c r="Z20" i="12"/>
  <c r="E20" i="11"/>
  <c r="L23" i="12"/>
  <c r="AA23" i="12"/>
  <c r="E23" i="12"/>
  <c r="N23" i="12"/>
  <c r="M23" i="12"/>
  <c r="J23" i="12"/>
  <c r="Q23" i="12"/>
  <c r="O23" i="12"/>
  <c r="P23" i="12"/>
  <c r="R23" i="12"/>
  <c r="S23" i="12"/>
  <c r="T23" i="12"/>
  <c r="U23" i="12"/>
  <c r="V23" i="12"/>
  <c r="W23" i="12"/>
  <c r="X23" i="12"/>
  <c r="Y23" i="12"/>
  <c r="Z23" i="12"/>
  <c r="E22" i="11"/>
  <c r="E19" i="11"/>
  <c r="E12" i="12"/>
  <c r="P12" i="12"/>
  <c r="N12" i="12"/>
  <c r="O12" i="12"/>
  <c r="M12" i="12"/>
  <c r="Q12" i="12"/>
  <c r="R12" i="12"/>
  <c r="AA12" i="12"/>
  <c r="L12" i="12"/>
  <c r="J12" i="12"/>
  <c r="K12" i="12" s="1"/>
  <c r="S12" i="12"/>
  <c r="T12" i="12"/>
  <c r="U12" i="12"/>
  <c r="V12" i="12"/>
  <c r="W12" i="12"/>
  <c r="X12" i="12"/>
  <c r="Y12" i="12"/>
  <c r="Z12" i="12"/>
  <c r="E16" i="11"/>
  <c r="E15" i="11"/>
  <c r="E17" i="12"/>
  <c r="L17" i="12"/>
  <c r="P17" i="12"/>
  <c r="Q17" i="12"/>
  <c r="M17" i="12"/>
  <c r="N17" i="12"/>
  <c r="AA17" i="12"/>
  <c r="O17" i="12"/>
  <c r="R17" i="12"/>
  <c r="J17" i="12"/>
  <c r="S17" i="12"/>
  <c r="T17" i="12"/>
  <c r="U17" i="12"/>
  <c r="V17" i="12"/>
  <c r="W17" i="12"/>
  <c r="X17" i="12"/>
  <c r="Z17" i="12"/>
  <c r="Y17" i="12"/>
  <c r="E7" i="11"/>
  <c r="L16" i="12"/>
  <c r="M16" i="12"/>
  <c r="E16" i="12"/>
  <c r="N16" i="12"/>
  <c r="AA16" i="12"/>
  <c r="J16" i="12"/>
  <c r="R16" i="12"/>
  <c r="O16" i="12"/>
  <c r="P16" i="12"/>
  <c r="Q16" i="12"/>
  <c r="S16" i="12"/>
  <c r="T16" i="12"/>
  <c r="U16" i="12"/>
  <c r="V16" i="12"/>
  <c r="W16" i="12"/>
  <c r="X16" i="12"/>
  <c r="Y16" i="12"/>
  <c r="Z16" i="12"/>
  <c r="E23" i="11"/>
  <c r="E13" i="11"/>
  <c r="N9" i="12"/>
  <c r="S9" i="12"/>
  <c r="T9" i="12"/>
  <c r="Q9" i="12"/>
  <c r="AA9" i="12"/>
  <c r="O9" i="12"/>
  <c r="L9" i="12"/>
  <c r="V9" i="12"/>
  <c r="P9" i="12"/>
  <c r="U9" i="12"/>
  <c r="Y9" i="12"/>
  <c r="W9" i="12"/>
  <c r="X9" i="12"/>
  <c r="R9" i="12"/>
  <c r="M9" i="12"/>
  <c r="Z9" i="12"/>
  <c r="J9" i="12"/>
  <c r="K9" i="12" s="1"/>
  <c r="E9" i="12"/>
  <c r="M10" i="12"/>
  <c r="J10" i="12"/>
  <c r="K10" i="12" s="1"/>
  <c r="E10" i="12"/>
  <c r="AA10" i="12"/>
  <c r="N10" i="12"/>
  <c r="L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E5" i="11"/>
  <c r="E12" i="11"/>
  <c r="Y8" i="12"/>
  <c r="L8" i="12"/>
  <c r="Q8" i="12"/>
  <c r="O8" i="12"/>
  <c r="R8" i="12"/>
  <c r="P8" i="12"/>
  <c r="Z8" i="12"/>
  <c r="X8" i="12"/>
  <c r="U8" i="12"/>
  <c r="S8" i="12"/>
  <c r="AA8" i="12"/>
  <c r="W8" i="12"/>
  <c r="M8" i="12"/>
  <c r="V8" i="12"/>
  <c r="E8" i="12"/>
  <c r="J8" i="12"/>
  <c r="T8" i="12"/>
  <c r="N8" i="12"/>
  <c r="E10" i="11"/>
  <c r="E18" i="11"/>
  <c r="E14" i="12"/>
  <c r="M14" i="12"/>
  <c r="J14" i="12"/>
  <c r="K14" i="12" s="1"/>
  <c r="O14" i="12"/>
  <c r="R14" i="12"/>
  <c r="AA14" i="12"/>
  <c r="P14" i="12"/>
  <c r="Q14" i="12"/>
  <c r="N14" i="12"/>
  <c r="L14" i="12"/>
  <c r="S14" i="12"/>
  <c r="T14" i="12"/>
  <c r="U14" i="12"/>
  <c r="V14" i="12"/>
  <c r="W14" i="12"/>
  <c r="X14" i="12"/>
  <c r="Z14" i="12"/>
  <c r="Y14" i="12"/>
  <c r="E17" i="11"/>
  <c r="L15" i="12"/>
  <c r="N15" i="12"/>
  <c r="J15" i="12"/>
  <c r="E15" i="12"/>
  <c r="AA15" i="12"/>
  <c r="M15" i="12"/>
  <c r="Q15" i="12"/>
  <c r="O15" i="12"/>
  <c r="R15" i="12"/>
  <c r="P15" i="12"/>
  <c r="S15" i="12"/>
  <c r="T15" i="12"/>
  <c r="U15" i="12"/>
  <c r="V15" i="12"/>
  <c r="W15" i="12"/>
  <c r="X15" i="12"/>
  <c r="Y15" i="12"/>
  <c r="Z15" i="12"/>
  <c r="P6" i="12"/>
  <c r="Y6" i="12"/>
  <c r="R6" i="12"/>
  <c r="L6" i="12"/>
  <c r="Z6" i="12"/>
  <c r="T6" i="12"/>
  <c r="N6" i="12"/>
  <c r="O6" i="12"/>
  <c r="X6" i="12"/>
  <c r="J6" i="12"/>
  <c r="M6" i="12"/>
  <c r="U6" i="12"/>
  <c r="E6" i="12"/>
  <c r="Q6" i="12"/>
  <c r="V6" i="12"/>
  <c r="S6" i="12"/>
  <c r="AA6" i="12"/>
  <c r="W6" i="12"/>
  <c r="L19" i="12"/>
  <c r="M19" i="12"/>
  <c r="E19" i="12"/>
  <c r="N19" i="12"/>
  <c r="J19" i="12"/>
  <c r="AA19" i="12"/>
  <c r="O19" i="12"/>
  <c r="R19" i="12"/>
  <c r="Q19" i="12"/>
  <c r="P19" i="12"/>
  <c r="S19" i="12"/>
  <c r="T19" i="12"/>
  <c r="U19" i="12"/>
  <c r="V19" i="12"/>
  <c r="W19" i="12"/>
  <c r="X19" i="12"/>
  <c r="Z19" i="12"/>
  <c r="Y19" i="12"/>
  <c r="L11" i="12"/>
  <c r="E11" i="12"/>
  <c r="AA11" i="12"/>
  <c r="M11" i="12"/>
  <c r="J11" i="12"/>
  <c r="K11" i="12" s="1"/>
  <c r="N11" i="12"/>
  <c r="Q11" i="12"/>
  <c r="O11" i="12"/>
  <c r="P11" i="12"/>
  <c r="R11" i="12"/>
  <c r="S11" i="12"/>
  <c r="T11" i="12"/>
  <c r="U11" i="12"/>
  <c r="V11" i="12"/>
  <c r="W11" i="12"/>
  <c r="X11" i="12"/>
  <c r="Y11" i="12"/>
  <c r="Z11" i="12"/>
  <c r="E6" i="11"/>
  <c r="E9" i="11"/>
  <c r="Z5" i="12"/>
  <c r="S5" i="12"/>
  <c r="M5" i="12"/>
  <c r="O5" i="12"/>
  <c r="Q5" i="12"/>
  <c r="N5" i="12"/>
  <c r="R5" i="12"/>
  <c r="P5" i="12"/>
  <c r="Y5" i="12"/>
  <c r="X5" i="12"/>
  <c r="U5" i="12"/>
  <c r="W5" i="12"/>
  <c r="T5" i="12"/>
  <c r="V5" i="12"/>
  <c r="AA5" i="12"/>
  <c r="L5" i="12"/>
  <c r="E5" i="12"/>
  <c r="J5" i="12"/>
  <c r="E11" i="11"/>
  <c r="E14" i="11"/>
  <c r="M18" i="12"/>
  <c r="J18" i="12"/>
  <c r="AA18" i="12"/>
  <c r="E18" i="12"/>
  <c r="N18" i="12"/>
  <c r="L18" i="12"/>
  <c r="O18" i="12"/>
  <c r="P18" i="12"/>
  <c r="R18" i="12"/>
  <c r="Q18" i="12"/>
  <c r="S18" i="12"/>
  <c r="T18" i="12"/>
  <c r="U18" i="12"/>
  <c r="V18" i="12"/>
  <c r="W18" i="12"/>
  <c r="X18" i="12"/>
  <c r="Y18" i="12"/>
  <c r="Z18" i="12"/>
  <c r="E8" i="11"/>
  <c r="E21" i="12"/>
  <c r="M21" i="12"/>
  <c r="N21" i="12"/>
  <c r="AA21" i="12"/>
  <c r="J21" i="12"/>
  <c r="L21" i="12"/>
  <c r="O21" i="12"/>
  <c r="R21" i="12"/>
  <c r="P21" i="12"/>
  <c r="Q21" i="12"/>
  <c r="S21" i="12"/>
  <c r="T21" i="12"/>
  <c r="U21" i="12"/>
  <c r="V21" i="12"/>
  <c r="W21" i="12"/>
  <c r="X21" i="12"/>
  <c r="Y21" i="12"/>
  <c r="Z21" i="12"/>
  <c r="G8" i="12"/>
  <c r="G8" i="11"/>
  <c r="G20" i="2"/>
  <c r="G20" i="11"/>
  <c r="G20" i="12"/>
  <c r="G11" i="2"/>
  <c r="G13" i="2"/>
  <c r="Z85" i="14" s="1"/>
  <c r="E5" i="2"/>
  <c r="E8" i="2"/>
  <c r="J8" i="2"/>
  <c r="E6" i="2"/>
  <c r="J6" i="2"/>
  <c r="E32" i="2"/>
  <c r="J32" i="2"/>
  <c r="E34" i="2"/>
  <c r="J34" i="2"/>
  <c r="E31" i="2"/>
  <c r="J31" i="2"/>
  <c r="E33" i="2"/>
  <c r="J33" i="2"/>
  <c r="E7" i="2"/>
  <c r="J7" i="2"/>
  <c r="L34" i="2"/>
  <c r="L31" i="2"/>
  <c r="L33" i="2"/>
  <c r="L32" i="2"/>
  <c r="L13" i="2"/>
  <c r="L5" i="2"/>
  <c r="L6" i="2"/>
  <c r="L7" i="2"/>
  <c r="L8" i="2"/>
  <c r="R9" i="3"/>
  <c r="L20" i="2"/>
  <c r="L10" i="2"/>
  <c r="L15" i="2"/>
  <c r="L19" i="2"/>
  <c r="L14" i="2"/>
  <c r="L9" i="2"/>
  <c r="L22" i="2"/>
  <c r="L16" i="2"/>
  <c r="L11" i="2"/>
  <c r="L23" i="2"/>
  <c r="L18" i="2"/>
  <c r="L12" i="2"/>
  <c r="L21" i="2"/>
  <c r="L17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9" i="2"/>
  <c r="AB205" i="13" l="1"/>
  <c r="AB120" i="13"/>
  <c r="Z205" i="13"/>
  <c r="AA205" i="13"/>
  <c r="Z120" i="13"/>
  <c r="AA120" i="13"/>
  <c r="G21" i="2"/>
  <c r="Z93" i="14" s="1"/>
  <c r="Z92" i="14"/>
  <c r="AE46" i="12"/>
  <c r="AE45" i="12"/>
  <c r="AF45" i="12" s="1"/>
  <c r="AA24" i="12"/>
  <c r="AE20" i="12" s="1"/>
  <c r="AF20" i="12" s="1"/>
  <c r="AE41" i="12"/>
  <c r="AD41" i="12" s="1"/>
  <c r="AE40" i="12"/>
  <c r="AF40" i="12" s="1"/>
  <c r="EE62" i="13"/>
  <c r="EA62" i="13"/>
  <c r="ED62" i="13"/>
  <c r="DZ62" i="13"/>
  <c r="DT62" i="13"/>
  <c r="DS62" i="13"/>
  <c r="EI62" i="13"/>
  <c r="EC62" i="13"/>
  <c r="CC106" i="13"/>
  <c r="CB106" i="13"/>
  <c r="CA106" i="13"/>
  <c r="BZ106" i="13"/>
  <c r="K17" i="11"/>
  <c r="AK198" i="13"/>
  <c r="AJ258" i="13"/>
  <c r="AH259" i="13"/>
  <c r="AI258" i="13"/>
  <c r="AJ198" i="13"/>
  <c r="AH198" i="13"/>
  <c r="AI198" i="13"/>
  <c r="K18" i="11"/>
  <c r="K11" i="11"/>
  <c r="J24" i="11"/>
  <c r="AP196" i="13"/>
  <c r="AL196" i="13"/>
  <c r="AQ172" i="13"/>
  <c r="AN128" i="13"/>
  <c r="AG172" i="13"/>
  <c r="AL256" i="13"/>
  <c r="AR257" i="13"/>
  <c r="AG196" i="13"/>
  <c r="AE196" i="13"/>
  <c r="AD172" i="13"/>
  <c r="AN256" i="13"/>
  <c r="AC257" i="13"/>
  <c r="AP128" i="13"/>
  <c r="AM172" i="13"/>
  <c r="AR196" i="13"/>
  <c r="AC196" i="13"/>
  <c r="AL128" i="13"/>
  <c r="AQ128" i="13"/>
  <c r="AO172" i="13"/>
  <c r="AE172" i="13"/>
  <c r="AL173" i="13"/>
  <c r="AR128" i="13"/>
  <c r="AQ258" i="13"/>
  <c r="AO196" i="13"/>
  <c r="AD196" i="13"/>
  <c r="AQ196" i="13"/>
  <c r="AD257" i="13"/>
  <c r="AF172" i="13"/>
  <c r="AG257" i="13"/>
  <c r="AR172" i="13"/>
  <c r="AM128" i="13"/>
  <c r="AF256" i="13"/>
  <c r="AE256" i="13"/>
  <c r="AN172" i="13"/>
  <c r="AP172" i="13"/>
  <c r="AF196" i="13"/>
  <c r="AO256" i="13"/>
  <c r="AO128" i="13"/>
  <c r="AM257" i="13"/>
  <c r="AN197" i="13"/>
  <c r="AM196" i="13"/>
  <c r="AC172" i="13"/>
  <c r="AP256" i="13"/>
  <c r="C171" i="13"/>
  <c r="N171" i="13"/>
  <c r="I171" i="13"/>
  <c r="I130" i="13"/>
  <c r="N130" i="13"/>
  <c r="K171" i="13"/>
  <c r="I195" i="13"/>
  <c r="G171" i="13"/>
  <c r="M171" i="13"/>
  <c r="P171" i="13"/>
  <c r="C195" i="13"/>
  <c r="D130" i="13"/>
  <c r="V195" i="13"/>
  <c r="X130" i="13"/>
  <c r="M130" i="13"/>
  <c r="M195" i="13"/>
  <c r="G130" i="13"/>
  <c r="L130" i="13"/>
  <c r="F195" i="13"/>
  <c r="J130" i="13"/>
  <c r="B171" i="13"/>
  <c r="B130" i="13"/>
  <c r="W171" i="13"/>
  <c r="X171" i="13"/>
  <c r="D195" i="13"/>
  <c r="A107" i="13"/>
  <c r="AS107" i="13" s="1"/>
  <c r="U195" i="13"/>
  <c r="U171" i="13"/>
  <c r="L171" i="13"/>
  <c r="F130" i="13"/>
  <c r="L195" i="13"/>
  <c r="K130" i="13"/>
  <c r="X195" i="13"/>
  <c r="E195" i="13"/>
  <c r="T195" i="13"/>
  <c r="T171" i="13"/>
  <c r="O171" i="13"/>
  <c r="D171" i="13"/>
  <c r="E130" i="13"/>
  <c r="Y130" i="13"/>
  <c r="H171" i="13"/>
  <c r="C130" i="13"/>
  <c r="S171" i="13"/>
  <c r="J171" i="13"/>
  <c r="J195" i="13"/>
  <c r="V171" i="13"/>
  <c r="O130" i="13"/>
  <c r="P195" i="13"/>
  <c r="W195" i="13"/>
  <c r="H195" i="13"/>
  <c r="Q195" i="13"/>
  <c r="AV105" i="13"/>
  <c r="AZ105" i="13"/>
  <c r="BD105" i="13"/>
  <c r="BH105" i="13"/>
  <c r="BL105" i="13"/>
  <c r="AY105" i="13"/>
  <c r="BE105" i="13"/>
  <c r="BJ105" i="13"/>
  <c r="BO105" i="13"/>
  <c r="BA105" i="13"/>
  <c r="BG105" i="13"/>
  <c r="BN105" i="13"/>
  <c r="BB105" i="13"/>
  <c r="BK105" i="13"/>
  <c r="AU105" i="13"/>
  <c r="BC105" i="13"/>
  <c r="BM105" i="13"/>
  <c r="AW105" i="13"/>
  <c r="BQ105" i="13"/>
  <c r="AX105" i="13"/>
  <c r="BF105" i="13"/>
  <c r="BI105" i="13"/>
  <c r="AT105" i="13"/>
  <c r="E171" i="13"/>
  <c r="N195" i="13"/>
  <c r="R130" i="13"/>
  <c r="Y171" i="13"/>
  <c r="G195" i="13"/>
  <c r="Q171" i="13"/>
  <c r="K195" i="13"/>
  <c r="H130" i="13"/>
  <c r="S195" i="13"/>
  <c r="F171" i="13"/>
  <c r="P130" i="13"/>
  <c r="Q130" i="13"/>
  <c r="R195" i="13"/>
  <c r="B195" i="13"/>
  <c r="Y195" i="13"/>
  <c r="O195" i="13"/>
  <c r="R171" i="13"/>
  <c r="K16" i="11"/>
  <c r="K19" i="11"/>
  <c r="K14" i="11"/>
  <c r="K9" i="11"/>
  <c r="K22" i="11"/>
  <c r="K8" i="11"/>
  <c r="K10" i="11"/>
  <c r="K7" i="11"/>
  <c r="K15" i="11"/>
  <c r="K13" i="11"/>
  <c r="K6" i="11"/>
  <c r="K5" i="11"/>
  <c r="K21" i="11"/>
  <c r="K12" i="11"/>
  <c r="K20" i="11"/>
  <c r="H27" i="2"/>
  <c r="M27" i="2"/>
  <c r="M15" i="2"/>
  <c r="N15" i="2" s="1"/>
  <c r="H15" i="2"/>
  <c r="R24" i="12"/>
  <c r="H26" i="2"/>
  <c r="M26" i="2"/>
  <c r="N26" i="2" s="1"/>
  <c r="H22" i="2"/>
  <c r="M22" i="2"/>
  <c r="N22" i="2" s="1"/>
  <c r="H10" i="2"/>
  <c r="M10" i="2"/>
  <c r="N10" i="2" s="1"/>
  <c r="V24" i="12"/>
  <c r="X24" i="12"/>
  <c r="H29" i="2"/>
  <c r="M29" i="2"/>
  <c r="N29" i="2" s="1"/>
  <c r="M21" i="2"/>
  <c r="N21" i="2" s="1"/>
  <c r="H21" i="2"/>
  <c r="H17" i="2"/>
  <c r="M17" i="2"/>
  <c r="N17" i="2" s="1"/>
  <c r="M13" i="2"/>
  <c r="N13" i="2" s="1"/>
  <c r="H13" i="2"/>
  <c r="I13" i="2" s="1"/>
  <c r="X85" i="14" s="1"/>
  <c r="Y85" i="14" s="1"/>
  <c r="T24" i="12"/>
  <c r="AD35" i="12"/>
  <c r="AE35" i="12"/>
  <c r="AF35" i="12" s="1"/>
  <c r="Q24" i="12"/>
  <c r="Z24" i="12"/>
  <c r="AF41" i="12"/>
  <c r="AE49" i="12"/>
  <c r="H28" i="2"/>
  <c r="M28" i="2"/>
  <c r="H24" i="2"/>
  <c r="M24" i="2"/>
  <c r="N24" i="2" s="1"/>
  <c r="M20" i="2"/>
  <c r="N20" i="2" s="1"/>
  <c r="H20" i="2"/>
  <c r="H16" i="2"/>
  <c r="M16" i="2"/>
  <c r="N16" i="2" s="1"/>
  <c r="M12" i="2"/>
  <c r="N12" i="2" s="1"/>
  <c r="H12" i="2"/>
  <c r="AE51" i="12"/>
  <c r="AE48" i="12"/>
  <c r="L24" i="12"/>
  <c r="W24" i="12"/>
  <c r="P24" i="12"/>
  <c r="O24" i="12"/>
  <c r="AD36" i="12"/>
  <c r="AE36" i="12"/>
  <c r="AF36" i="12" s="1"/>
  <c r="AE44" i="12"/>
  <c r="AE47" i="12"/>
  <c r="AE42" i="12"/>
  <c r="H9" i="2"/>
  <c r="M9" i="2"/>
  <c r="N9" i="2" s="1"/>
  <c r="H19" i="2"/>
  <c r="M19" i="2"/>
  <c r="N19" i="2" s="1"/>
  <c r="U24" i="12"/>
  <c r="H14" i="2"/>
  <c r="M14" i="2"/>
  <c r="N14" i="2" s="1"/>
  <c r="N24" i="12"/>
  <c r="AD39" i="12"/>
  <c r="AE39" i="12"/>
  <c r="AF39" i="12" s="1"/>
  <c r="AF46" i="12"/>
  <c r="AD46" i="12"/>
  <c r="AE43" i="12"/>
  <c r="AE52" i="12"/>
  <c r="M23" i="2"/>
  <c r="N23" i="2" s="1"/>
  <c r="H23" i="2"/>
  <c r="H11" i="2"/>
  <c r="M11" i="2"/>
  <c r="N11" i="2" s="1"/>
  <c r="M24" i="12"/>
  <c r="AD45" i="12"/>
  <c r="H30" i="2"/>
  <c r="M30" i="2"/>
  <c r="H18" i="2"/>
  <c r="M18" i="2"/>
  <c r="N18" i="2" s="1"/>
  <c r="S24" i="12"/>
  <c r="H25" i="2"/>
  <c r="M25" i="2"/>
  <c r="Y24" i="12"/>
  <c r="AD38" i="12"/>
  <c r="AE38" i="12"/>
  <c r="AF38" i="12" s="1"/>
  <c r="AE50" i="12"/>
  <c r="AD37" i="12"/>
  <c r="AE37" i="12"/>
  <c r="AF37" i="12" s="1"/>
  <c r="G21" i="11"/>
  <c r="G15" i="11"/>
  <c r="G15" i="12"/>
  <c r="K15" i="12" s="1"/>
  <c r="G21" i="12"/>
  <c r="K20" i="12"/>
  <c r="G7" i="11"/>
  <c r="G7" i="12"/>
  <c r="K8" i="12"/>
  <c r="D26" i="2"/>
  <c r="D18" i="2"/>
  <c r="D10" i="2"/>
  <c r="D9" i="2"/>
  <c r="D27" i="2"/>
  <c r="N27" i="2"/>
  <c r="D23" i="2"/>
  <c r="D19" i="2"/>
  <c r="D11" i="2"/>
  <c r="D28" i="2"/>
  <c r="N28" i="2"/>
  <c r="D24" i="2"/>
  <c r="D20" i="2"/>
  <c r="D16" i="2"/>
  <c r="D12" i="2"/>
  <c r="D29" i="2"/>
  <c r="D25" i="2"/>
  <c r="D21" i="2"/>
  <c r="D17" i="2"/>
  <c r="D13" i="2"/>
  <c r="D30" i="2"/>
  <c r="D22" i="2"/>
  <c r="D14" i="2"/>
  <c r="D15" i="2"/>
  <c r="G10" i="2"/>
  <c r="P5" i="2"/>
  <c r="G22" i="2"/>
  <c r="Z94" i="14" s="1"/>
  <c r="P31" i="2"/>
  <c r="P6" i="2"/>
  <c r="P32" i="2"/>
  <c r="P34" i="2"/>
  <c r="P7" i="2"/>
  <c r="P8" i="2"/>
  <c r="P33" i="2"/>
  <c r="R10" i="3"/>
  <c r="N30" i="2"/>
  <c r="G15" i="2"/>
  <c r="Z87" i="14" s="1"/>
  <c r="AA119" i="13" l="1"/>
  <c r="AA206" i="13"/>
  <c r="AV63" i="13"/>
  <c r="CM63" i="13" s="1"/>
  <c r="EG63" i="13" s="1"/>
  <c r="AB119" i="13"/>
  <c r="Z119" i="13"/>
  <c r="Z206" i="13"/>
  <c r="AU63" i="13"/>
  <c r="CL63" i="13" s="1"/>
  <c r="EF63" i="13" s="1"/>
  <c r="AB206" i="13"/>
  <c r="AW63" i="13"/>
  <c r="CN63" i="13" s="1"/>
  <c r="EH63" i="13" s="1"/>
  <c r="AD40" i="12"/>
  <c r="CA107" i="13"/>
  <c r="BZ107" i="13"/>
  <c r="CB107" i="13"/>
  <c r="CC107" i="13"/>
  <c r="L11" i="11"/>
  <c r="AH199" i="13"/>
  <c r="AJ199" i="13"/>
  <c r="AH260" i="13"/>
  <c r="AK199" i="13"/>
  <c r="AI199" i="13"/>
  <c r="AI259" i="13"/>
  <c r="AJ259" i="13"/>
  <c r="AN198" i="13"/>
  <c r="AF257" i="13"/>
  <c r="AQ197" i="13"/>
  <c r="AG197" i="13"/>
  <c r="AM197" i="13"/>
  <c r="AC173" i="13"/>
  <c r="AR258" i="13"/>
  <c r="AO257" i="13"/>
  <c r="AN173" i="13"/>
  <c r="AR173" i="13"/>
  <c r="AF173" i="13"/>
  <c r="AO197" i="13"/>
  <c r="AR127" i="13"/>
  <c r="AE173" i="13"/>
  <c r="AQ127" i="13"/>
  <c r="AC197" i="13"/>
  <c r="AM173" i="13"/>
  <c r="AC258" i="13"/>
  <c r="AD173" i="13"/>
  <c r="AG173" i="13"/>
  <c r="AQ173" i="13"/>
  <c r="AP197" i="13"/>
  <c r="AP257" i="13"/>
  <c r="AM258" i="13"/>
  <c r="AO127" i="13"/>
  <c r="AF197" i="13"/>
  <c r="AP173" i="13"/>
  <c r="AE257" i="13"/>
  <c r="AM127" i="13"/>
  <c r="AG258" i="13"/>
  <c r="AD258" i="13"/>
  <c r="AD197" i="13"/>
  <c r="AQ259" i="13"/>
  <c r="AO173" i="13"/>
  <c r="AL127" i="13"/>
  <c r="AR197" i="13"/>
  <c r="AP127" i="13"/>
  <c r="AN257" i="13"/>
  <c r="AE197" i="13"/>
  <c r="AL257" i="13"/>
  <c r="AN127" i="13"/>
  <c r="AL197" i="13"/>
  <c r="R196" i="13"/>
  <c r="Y62" i="13"/>
  <c r="BP62" i="13" s="1"/>
  <c r="K196" i="13"/>
  <c r="R62" i="13"/>
  <c r="BI62" i="13" s="1"/>
  <c r="H196" i="13"/>
  <c r="O62" i="13"/>
  <c r="BF62" i="13" s="1"/>
  <c r="J172" i="13"/>
  <c r="Y129" i="13"/>
  <c r="K129" i="13"/>
  <c r="M129" i="13"/>
  <c r="F172" i="13"/>
  <c r="U62" i="13"/>
  <c r="BL62" i="13" s="1"/>
  <c r="N196" i="13"/>
  <c r="AW106" i="13"/>
  <c r="BA106" i="13"/>
  <c r="BE106" i="13"/>
  <c r="BI106" i="13"/>
  <c r="BM106" i="13"/>
  <c r="BQ106" i="13"/>
  <c r="AX106" i="13"/>
  <c r="BC106" i="13"/>
  <c r="BH106" i="13"/>
  <c r="BN106" i="13"/>
  <c r="AY106" i="13"/>
  <c r="BF106" i="13"/>
  <c r="BL106" i="13"/>
  <c r="AV106" i="13"/>
  <c r="BG106" i="13"/>
  <c r="AZ106" i="13"/>
  <c r="BJ106" i="13"/>
  <c r="BK106" i="13"/>
  <c r="AU106" i="13"/>
  <c r="BO106" i="13"/>
  <c r="BB106" i="13"/>
  <c r="AT106" i="13"/>
  <c r="BD106" i="13"/>
  <c r="R172" i="13"/>
  <c r="Y196" i="13"/>
  <c r="AY62" i="13"/>
  <c r="CP62" i="13" s="1"/>
  <c r="P129" i="13"/>
  <c r="S196" i="13"/>
  <c r="Z62" i="13"/>
  <c r="BQ62" i="13" s="1"/>
  <c r="G196" i="13"/>
  <c r="N62" i="13"/>
  <c r="BE62" i="13" s="1"/>
  <c r="R129" i="13"/>
  <c r="P196" i="13"/>
  <c r="W62" i="13"/>
  <c r="BN62" i="13" s="1"/>
  <c r="V172" i="13"/>
  <c r="C129" i="13"/>
  <c r="D172" i="13"/>
  <c r="T172" i="13"/>
  <c r="E196" i="13"/>
  <c r="L62" i="13"/>
  <c r="BC62" i="13" s="1"/>
  <c r="F129" i="13"/>
  <c r="L172" i="13"/>
  <c r="U196" i="13"/>
  <c r="AB62" i="13"/>
  <c r="BS62" i="13" s="1"/>
  <c r="D196" i="13"/>
  <c r="K62" i="13"/>
  <c r="BB62" i="13" s="1"/>
  <c r="W172" i="13"/>
  <c r="B172" i="13"/>
  <c r="F196" i="13"/>
  <c r="M62" i="13"/>
  <c r="BD62" i="13" s="1"/>
  <c r="G129" i="13"/>
  <c r="AC62" i="13"/>
  <c r="BT62" i="13" s="1"/>
  <c r="V196" i="13"/>
  <c r="C196" i="13"/>
  <c r="J62" i="13"/>
  <c r="BA62" i="13" s="1"/>
  <c r="M172" i="13"/>
  <c r="I196" i="13"/>
  <c r="P62" i="13"/>
  <c r="BG62" i="13" s="1"/>
  <c r="N129" i="13"/>
  <c r="I172" i="13"/>
  <c r="O196" i="13"/>
  <c r="V62" i="13"/>
  <c r="BM62" i="13" s="1"/>
  <c r="B196" i="13"/>
  <c r="I62" i="13"/>
  <c r="AZ62" i="13" s="1"/>
  <c r="Q129" i="13"/>
  <c r="H129" i="13"/>
  <c r="Q172" i="13"/>
  <c r="Y172" i="13"/>
  <c r="E172" i="13"/>
  <c r="X62" i="13"/>
  <c r="BO62" i="13" s="1"/>
  <c r="Q196" i="13"/>
  <c r="W196" i="13"/>
  <c r="AD62" i="13"/>
  <c r="BU62" i="13" s="1"/>
  <c r="O129" i="13"/>
  <c r="Q62" i="13"/>
  <c r="BH62" i="13" s="1"/>
  <c r="J196" i="13"/>
  <c r="S172" i="13"/>
  <c r="H172" i="13"/>
  <c r="E129" i="13"/>
  <c r="O172" i="13"/>
  <c r="T196" i="13"/>
  <c r="AA62" i="13"/>
  <c r="BR62" i="13" s="1"/>
  <c r="AE62" i="13"/>
  <c r="BV62" i="13" s="1"/>
  <c r="X196" i="13"/>
  <c r="L196" i="13"/>
  <c r="S62" i="13"/>
  <c r="BJ62" i="13" s="1"/>
  <c r="U172" i="13"/>
  <c r="A108" i="13"/>
  <c r="AS108" i="13" s="1"/>
  <c r="X172" i="13"/>
  <c r="B129" i="13"/>
  <c r="J129" i="13"/>
  <c r="L129" i="13"/>
  <c r="M196" i="13"/>
  <c r="T62" i="13"/>
  <c r="BK62" i="13" s="1"/>
  <c r="X129" i="13"/>
  <c r="D129" i="13"/>
  <c r="P172" i="13"/>
  <c r="G172" i="13"/>
  <c r="K172" i="13"/>
  <c r="I129" i="13"/>
  <c r="N172" i="13"/>
  <c r="C172" i="13"/>
  <c r="L12" i="11"/>
  <c r="L13" i="11"/>
  <c r="L10" i="11"/>
  <c r="L14" i="11"/>
  <c r="L21" i="11"/>
  <c r="L18" i="11"/>
  <c r="L8" i="11"/>
  <c r="L19" i="11"/>
  <c r="L5" i="11"/>
  <c r="L15" i="11"/>
  <c r="L22" i="11"/>
  <c r="L16" i="11"/>
  <c r="L20" i="11"/>
  <c r="L6" i="11"/>
  <c r="L7" i="11"/>
  <c r="L9" i="11"/>
  <c r="L17" i="11"/>
  <c r="AF50" i="12"/>
  <c r="AD50" i="12"/>
  <c r="Y25" i="12"/>
  <c r="AE18" i="12"/>
  <c r="AF18" i="12" s="1"/>
  <c r="AF43" i="12"/>
  <c r="AD43" i="12"/>
  <c r="AE7" i="12"/>
  <c r="AF7" i="12" s="1"/>
  <c r="N25" i="12"/>
  <c r="AE14" i="12"/>
  <c r="AF14" i="12" s="1"/>
  <c r="U25" i="12"/>
  <c r="AE5" i="12"/>
  <c r="AF5" i="12" s="1"/>
  <c r="L25" i="12"/>
  <c r="Z25" i="12"/>
  <c r="AE19" i="12"/>
  <c r="AF19" i="12" s="1"/>
  <c r="AE13" i="12"/>
  <c r="AF13" i="12" s="1"/>
  <c r="T25" i="12"/>
  <c r="AD49" i="12"/>
  <c r="AF49" i="12"/>
  <c r="Q25" i="12"/>
  <c r="AE10" i="12"/>
  <c r="AF10" i="12" s="1"/>
  <c r="X25" i="12"/>
  <c r="AE17" i="12"/>
  <c r="AF17" i="12" s="1"/>
  <c r="M25" i="12"/>
  <c r="AE6" i="12"/>
  <c r="AF6" i="12" s="1"/>
  <c r="AD47" i="12"/>
  <c r="AF47" i="12"/>
  <c r="AD44" i="12"/>
  <c r="AF44" i="12"/>
  <c r="AE9" i="12"/>
  <c r="AF9" i="12" s="1"/>
  <c r="P25" i="12"/>
  <c r="AD51" i="12"/>
  <c r="AF51" i="12"/>
  <c r="AE15" i="12"/>
  <c r="AF15" i="12" s="1"/>
  <c r="V25" i="12"/>
  <c r="AF42" i="12"/>
  <c r="AD42" i="12"/>
  <c r="AE8" i="12"/>
  <c r="AF8" i="12" s="1"/>
  <c r="O25" i="12"/>
  <c r="AD48" i="12"/>
  <c r="AF48" i="12"/>
  <c r="AE12" i="12"/>
  <c r="AF12" i="12" s="1"/>
  <c r="S25" i="12"/>
  <c r="AD52" i="12"/>
  <c r="AF52" i="12"/>
  <c r="W25" i="12"/>
  <c r="AE16" i="12"/>
  <c r="AF16" i="12" s="1"/>
  <c r="R25" i="12"/>
  <c r="AE11" i="12"/>
  <c r="AF11" i="12" s="1"/>
  <c r="G22" i="11"/>
  <c r="G6" i="11"/>
  <c r="G22" i="12"/>
  <c r="K21" i="12"/>
  <c r="G6" i="12"/>
  <c r="K7" i="12"/>
  <c r="G16" i="12"/>
  <c r="G16" i="11"/>
  <c r="O14" i="2"/>
  <c r="P14" i="2" s="1"/>
  <c r="O30" i="2"/>
  <c r="P30" i="2" s="1"/>
  <c r="O17" i="2"/>
  <c r="P17" i="2" s="1"/>
  <c r="O29" i="2"/>
  <c r="O16" i="2"/>
  <c r="P16" i="2" s="1"/>
  <c r="O24" i="2"/>
  <c r="P24" i="2" s="1"/>
  <c r="O11" i="2"/>
  <c r="P11" i="2" s="1"/>
  <c r="O23" i="2"/>
  <c r="P23" i="2" s="1"/>
  <c r="O9" i="2"/>
  <c r="P9" i="2" s="1"/>
  <c r="O18" i="2"/>
  <c r="P18" i="2" s="1"/>
  <c r="O13" i="2"/>
  <c r="P13" i="2" s="1"/>
  <c r="O12" i="2"/>
  <c r="P12" i="2" s="1"/>
  <c r="O20" i="2"/>
  <c r="P20" i="2" s="1"/>
  <c r="O28" i="2"/>
  <c r="O19" i="2"/>
  <c r="P19" i="2" s="1"/>
  <c r="O27" i="2"/>
  <c r="P27" i="2" s="1"/>
  <c r="O10" i="2"/>
  <c r="P10" i="2" s="1"/>
  <c r="O26" i="2"/>
  <c r="P26" i="2" s="1"/>
  <c r="O21" i="2"/>
  <c r="P21" i="2" s="1"/>
  <c r="O15" i="2"/>
  <c r="P15" i="2" s="1"/>
  <c r="O22" i="2"/>
  <c r="P22" i="2" s="1"/>
  <c r="B46" i="2"/>
  <c r="B47" i="2"/>
  <c r="E26" i="2"/>
  <c r="J13" i="2"/>
  <c r="E11" i="2"/>
  <c r="E30" i="2"/>
  <c r="E15" i="2"/>
  <c r="E27" i="2"/>
  <c r="E17" i="2"/>
  <c r="E10" i="2"/>
  <c r="E18" i="2"/>
  <c r="E24" i="2"/>
  <c r="E23" i="2"/>
  <c r="E14" i="2"/>
  <c r="E22" i="2"/>
  <c r="E29" i="2"/>
  <c r="E19" i="2"/>
  <c r="E25" i="2"/>
  <c r="E21" i="2"/>
  <c r="E12" i="2"/>
  <c r="E20" i="2"/>
  <c r="E28" i="2"/>
  <c r="G9" i="2"/>
  <c r="E16" i="2"/>
  <c r="I16" i="2"/>
  <c r="G23" i="2"/>
  <c r="Z95" i="14" s="1"/>
  <c r="E13" i="2"/>
  <c r="N25" i="2"/>
  <c r="O25" i="2" s="1"/>
  <c r="R11" i="3"/>
  <c r="I9" i="2"/>
  <c r="J9" i="2" s="1"/>
  <c r="E9" i="2"/>
  <c r="I29" i="2"/>
  <c r="J29" i="2" s="1"/>
  <c r="I24" i="2"/>
  <c r="J24" i="2" s="1"/>
  <c r="I17" i="2"/>
  <c r="I18" i="2"/>
  <c r="I21" i="2"/>
  <c r="I12" i="2"/>
  <c r="I20" i="2"/>
  <c r="I28" i="2"/>
  <c r="J28" i="2" s="1"/>
  <c r="I25" i="2"/>
  <c r="J25" i="2" s="1"/>
  <c r="I14" i="2"/>
  <c r="I22" i="2"/>
  <c r="I30" i="2"/>
  <c r="J30" i="2" s="1"/>
  <c r="I15" i="2"/>
  <c r="I23" i="2"/>
  <c r="I10" i="2"/>
  <c r="J10" i="2" s="1"/>
  <c r="I26" i="2"/>
  <c r="J26" i="2" s="1"/>
  <c r="I11" i="2"/>
  <c r="J11" i="2" s="1"/>
  <c r="I19" i="2"/>
  <c r="I27" i="2"/>
  <c r="J27" i="2" s="1"/>
  <c r="G16" i="2"/>
  <c r="Z88" i="14" s="1"/>
  <c r="L17" i="1"/>
  <c r="L11" i="1"/>
  <c r="B27" i="1"/>
  <c r="C1" i="1"/>
  <c r="C6" i="1" s="1"/>
  <c r="D6" i="1" s="1"/>
  <c r="E6" i="1" s="1"/>
  <c r="Z207" i="13" l="1"/>
  <c r="Z118" i="13"/>
  <c r="AA207" i="13"/>
  <c r="AB118" i="13"/>
  <c r="AB207" i="13"/>
  <c r="AA118" i="13"/>
  <c r="J15" i="2"/>
  <c r="X87" i="14"/>
  <c r="Y87" i="14" s="1"/>
  <c r="J21" i="2"/>
  <c r="K21" i="2" s="1"/>
  <c r="X93" i="14"/>
  <c r="Y93" i="14" s="1"/>
  <c r="J18" i="2"/>
  <c r="X90" i="14"/>
  <c r="Y90" i="14" s="1"/>
  <c r="J22" i="2"/>
  <c r="K22" i="2" s="1"/>
  <c r="X94" i="14"/>
  <c r="Y94" i="14" s="1"/>
  <c r="J20" i="2"/>
  <c r="K20" i="2" s="1"/>
  <c r="X92" i="14"/>
  <c r="Y92" i="14" s="1"/>
  <c r="J17" i="2"/>
  <c r="X89" i="14"/>
  <c r="Y89" i="14" s="1"/>
  <c r="J19" i="2"/>
  <c r="X91" i="14"/>
  <c r="Y91" i="14" s="1"/>
  <c r="J23" i="2"/>
  <c r="K23" i="2" s="1"/>
  <c r="X95" i="14"/>
  <c r="Y95" i="14" s="1"/>
  <c r="J14" i="2"/>
  <c r="K14" i="2" s="1"/>
  <c r="X86" i="14"/>
  <c r="Y86" i="14" s="1"/>
  <c r="J12" i="2"/>
  <c r="B49" i="2" s="1"/>
  <c r="X84" i="14"/>
  <c r="Y84" i="14" s="1"/>
  <c r="J16" i="2"/>
  <c r="X88" i="14"/>
  <c r="Y88" i="14" s="1"/>
  <c r="CB108" i="13"/>
  <c r="CA108" i="13"/>
  <c r="BZ108" i="13"/>
  <c r="CC108" i="13"/>
  <c r="AI260" i="13"/>
  <c r="AK200" i="13"/>
  <c r="AJ200" i="13"/>
  <c r="AJ260" i="13"/>
  <c r="AI200" i="13"/>
  <c r="AH261" i="13"/>
  <c r="AH200" i="13"/>
  <c r="EK62" i="13"/>
  <c r="AR198" i="13"/>
  <c r="AD198" i="13"/>
  <c r="AE258" i="13"/>
  <c r="AM259" i="13"/>
  <c r="AF258" i="13"/>
  <c r="AN126" i="13"/>
  <c r="AN258" i="13"/>
  <c r="AG259" i="13"/>
  <c r="AF198" i="13"/>
  <c r="AP198" i="13"/>
  <c r="AC259" i="13"/>
  <c r="AC198" i="13"/>
  <c r="AR126" i="13"/>
  <c r="AG198" i="13"/>
  <c r="AN199" i="13"/>
  <c r="AL198" i="13"/>
  <c r="AL258" i="13"/>
  <c r="AE198" i="13"/>
  <c r="AP126" i="13"/>
  <c r="AL126" i="13"/>
  <c r="AQ260" i="13"/>
  <c r="AD259" i="13"/>
  <c r="AM126" i="13"/>
  <c r="AO126" i="13"/>
  <c r="AP258" i="13"/>
  <c r="AQ126" i="13"/>
  <c r="AO198" i="13"/>
  <c r="AO258" i="13"/>
  <c r="AR259" i="13"/>
  <c r="AM198" i="13"/>
  <c r="AQ198" i="13"/>
  <c r="I128" i="13"/>
  <c r="D128" i="13"/>
  <c r="DP62" i="13"/>
  <c r="E128" i="13"/>
  <c r="S173" i="13"/>
  <c r="CT62" i="13"/>
  <c r="O197" i="13"/>
  <c r="CV62" i="13"/>
  <c r="D173" i="13"/>
  <c r="M128" i="13"/>
  <c r="H197" i="13"/>
  <c r="J128" i="13"/>
  <c r="U173" i="13"/>
  <c r="J197" i="13"/>
  <c r="Y173" i="13"/>
  <c r="B197" i="13"/>
  <c r="I173" i="13"/>
  <c r="CU62" i="13"/>
  <c r="CX62" i="13"/>
  <c r="D197" i="13"/>
  <c r="DK62" i="13"/>
  <c r="DJ62" i="13"/>
  <c r="N173" i="13"/>
  <c r="K173" i="13"/>
  <c r="P173" i="13"/>
  <c r="X128" i="13"/>
  <c r="AX107" i="13"/>
  <c r="BB107" i="13"/>
  <c r="BF107" i="13"/>
  <c r="BJ107" i="13"/>
  <c r="BN107" i="13"/>
  <c r="AV107" i="13"/>
  <c r="BA107" i="13"/>
  <c r="BG107" i="13"/>
  <c r="BL107" i="13"/>
  <c r="BQ107" i="13"/>
  <c r="AW107" i="13"/>
  <c r="BD107" i="13"/>
  <c r="BK107" i="13"/>
  <c r="BC107" i="13"/>
  <c r="BM107" i="13"/>
  <c r="AT107" i="13"/>
  <c r="AU107" i="13"/>
  <c r="BE107" i="13"/>
  <c r="BO107" i="13"/>
  <c r="BH107" i="13"/>
  <c r="BI107" i="13"/>
  <c r="AY107" i="13"/>
  <c r="AZ107" i="13"/>
  <c r="DL62" i="13"/>
  <c r="O173" i="13"/>
  <c r="H173" i="13"/>
  <c r="DB62" i="13"/>
  <c r="DO62" i="13"/>
  <c r="C197" i="13"/>
  <c r="F197" i="13"/>
  <c r="CW62" i="13"/>
  <c r="T173" i="13"/>
  <c r="C128" i="13"/>
  <c r="P197" i="13"/>
  <c r="CY62" i="13"/>
  <c r="S197" i="13"/>
  <c r="EJ62" i="13"/>
  <c r="R173" i="13"/>
  <c r="N197" i="13"/>
  <c r="F173" i="13"/>
  <c r="K128" i="13"/>
  <c r="J173" i="13"/>
  <c r="DC62" i="13"/>
  <c r="R197" i="13"/>
  <c r="C173" i="13"/>
  <c r="G173" i="13"/>
  <c r="M197" i="13"/>
  <c r="DD62" i="13"/>
  <c r="DI62" i="13"/>
  <c r="DA62" i="13"/>
  <c r="M173" i="13"/>
  <c r="V197" i="13"/>
  <c r="G128" i="13"/>
  <c r="U197" i="13"/>
  <c r="V173" i="13"/>
  <c r="Y128" i="13"/>
  <c r="X173" i="13"/>
  <c r="L197" i="13"/>
  <c r="O128" i="13"/>
  <c r="H128" i="13"/>
  <c r="I197" i="13"/>
  <c r="DN62" i="13"/>
  <c r="B173" i="13"/>
  <c r="F128" i="13"/>
  <c r="DH62" i="13"/>
  <c r="R128" i="13"/>
  <c r="P128" i="13"/>
  <c r="DE62" i="13"/>
  <c r="L128" i="13"/>
  <c r="B128" i="13"/>
  <c r="A109" i="13"/>
  <c r="AS109" i="13" s="1"/>
  <c r="X197" i="13"/>
  <c r="T197" i="13"/>
  <c r="W197" i="13"/>
  <c r="Q197" i="13"/>
  <c r="E173" i="13"/>
  <c r="Q173" i="13"/>
  <c r="Q128" i="13"/>
  <c r="DG62" i="13"/>
  <c r="N128" i="13"/>
  <c r="W173" i="13"/>
  <c r="DM62" i="13"/>
  <c r="L173" i="13"/>
  <c r="E197" i="13"/>
  <c r="G197" i="13"/>
  <c r="Y197" i="13"/>
  <c r="DF62" i="13"/>
  <c r="CZ62" i="13"/>
  <c r="K197" i="13"/>
  <c r="K16" i="12"/>
  <c r="G17" i="12"/>
  <c r="G23" i="12"/>
  <c r="K23" i="12" s="1"/>
  <c r="K22" i="12"/>
  <c r="G23" i="11"/>
  <c r="G17" i="11"/>
  <c r="G5" i="12"/>
  <c r="K5" i="12" s="1"/>
  <c r="K6" i="12"/>
  <c r="G5" i="11"/>
  <c r="B43" i="2"/>
  <c r="P25" i="2"/>
  <c r="C15" i="1"/>
  <c r="D15" i="1" s="1"/>
  <c r="E15" i="1" s="1"/>
  <c r="L12" i="1"/>
  <c r="C3" i="1"/>
  <c r="D3" i="1" s="1"/>
  <c r="C11" i="1"/>
  <c r="D11" i="1" s="1"/>
  <c r="E11" i="1" s="1"/>
  <c r="C23" i="1"/>
  <c r="D23" i="1" s="1"/>
  <c r="E23" i="1" s="1"/>
  <c r="C7" i="1"/>
  <c r="D7" i="1" s="1"/>
  <c r="E7" i="1" s="1"/>
  <c r="C19" i="1"/>
  <c r="D19" i="1" s="1"/>
  <c r="E19" i="1" s="1"/>
  <c r="B45" i="2"/>
  <c r="C46" i="2" s="1"/>
  <c r="K13" i="2"/>
  <c r="P28" i="2"/>
  <c r="K10" i="2"/>
  <c r="K16" i="2"/>
  <c r="K11" i="2"/>
  <c r="K15" i="2"/>
  <c r="K9" i="2"/>
  <c r="G8" i="2"/>
  <c r="K8" i="2" s="1"/>
  <c r="G24" i="2"/>
  <c r="K24" i="2" s="1"/>
  <c r="O35" i="2"/>
  <c r="R12" i="3"/>
  <c r="G17" i="2"/>
  <c r="C24" i="1"/>
  <c r="D24" i="1" s="1"/>
  <c r="E24" i="1" s="1"/>
  <c r="C20" i="1"/>
  <c r="D20" i="1" s="1"/>
  <c r="E20" i="1" s="1"/>
  <c r="C16" i="1"/>
  <c r="D16" i="1" s="1"/>
  <c r="E16" i="1" s="1"/>
  <c r="C12" i="1"/>
  <c r="D12" i="1" s="1"/>
  <c r="E12" i="1" s="1"/>
  <c r="C8" i="1"/>
  <c r="D8" i="1" s="1"/>
  <c r="E8" i="1" s="1"/>
  <c r="C4" i="1"/>
  <c r="D4" i="1" s="1"/>
  <c r="E4" i="1" s="1"/>
  <c r="L18" i="1"/>
  <c r="C25" i="1"/>
  <c r="D25" i="1" s="1"/>
  <c r="E25" i="1" s="1"/>
  <c r="C21" i="1"/>
  <c r="D21" i="1" s="1"/>
  <c r="E21" i="1" s="1"/>
  <c r="C17" i="1"/>
  <c r="D17" i="1" s="1"/>
  <c r="E17" i="1" s="1"/>
  <c r="C13" i="1"/>
  <c r="D13" i="1" s="1"/>
  <c r="E13" i="1" s="1"/>
  <c r="C9" i="1"/>
  <c r="D9" i="1" s="1"/>
  <c r="E9" i="1" s="1"/>
  <c r="C5" i="1"/>
  <c r="D5" i="1" s="1"/>
  <c r="E5" i="1" s="1"/>
  <c r="L13" i="1"/>
  <c r="L14" i="1" s="1"/>
  <c r="L15" i="1" s="1"/>
  <c r="L16" i="1" s="1"/>
  <c r="L19" i="1"/>
  <c r="C26" i="1"/>
  <c r="D26" i="1" s="1"/>
  <c r="E26" i="1" s="1"/>
  <c r="C22" i="1"/>
  <c r="D22" i="1" s="1"/>
  <c r="E22" i="1" s="1"/>
  <c r="C18" i="1"/>
  <c r="D18" i="1" s="1"/>
  <c r="E18" i="1" s="1"/>
  <c r="C14" i="1"/>
  <c r="D14" i="1" s="1"/>
  <c r="E14" i="1" s="1"/>
  <c r="C10" i="1"/>
  <c r="D10" i="1" s="1"/>
  <c r="E10" i="1" s="1"/>
  <c r="J35" i="2" l="1"/>
  <c r="J43" i="2" s="1"/>
  <c r="AA117" i="13"/>
  <c r="AB117" i="13"/>
  <c r="Z117" i="13"/>
  <c r="AB208" i="13"/>
  <c r="AA208" i="13"/>
  <c r="Z208" i="13"/>
  <c r="K17" i="2"/>
  <c r="Z89" i="14"/>
  <c r="K12" i="2"/>
  <c r="B44" i="2"/>
  <c r="CB109" i="13"/>
  <c r="CA109" i="13"/>
  <c r="BZ109" i="13"/>
  <c r="CC109" i="13"/>
  <c r="AH262" i="13"/>
  <c r="AJ261" i="13"/>
  <c r="AK201" i="13"/>
  <c r="AH201" i="13"/>
  <c r="AI201" i="13"/>
  <c r="AJ201" i="13"/>
  <c r="AI261" i="13"/>
  <c r="AQ199" i="13"/>
  <c r="AR260" i="13"/>
  <c r="AP259" i="13"/>
  <c r="AD260" i="13"/>
  <c r="AP125" i="13"/>
  <c r="AS55" i="13" s="1"/>
  <c r="AR125" i="13"/>
  <c r="AX55" i="13" s="1"/>
  <c r="AF199" i="13"/>
  <c r="AN259" i="13"/>
  <c r="AF259" i="13"/>
  <c r="AR199" i="13"/>
  <c r="AQ125" i="13"/>
  <c r="AT55" i="13" s="1"/>
  <c r="AL259" i="13"/>
  <c r="AN200" i="13"/>
  <c r="AC260" i="13"/>
  <c r="AE259" i="13"/>
  <c r="AM199" i="13"/>
  <c r="AO259" i="13"/>
  <c r="AO199" i="13"/>
  <c r="AO125" i="13"/>
  <c r="AR55" i="13" s="1"/>
  <c r="AM125" i="13"/>
  <c r="AP55" i="13" s="1"/>
  <c r="AQ261" i="13"/>
  <c r="AL125" i="13"/>
  <c r="AO55" i="13" s="1"/>
  <c r="AE199" i="13"/>
  <c r="AL199" i="13"/>
  <c r="AG199" i="13"/>
  <c r="AC199" i="13"/>
  <c r="AP199" i="13"/>
  <c r="AG260" i="13"/>
  <c r="AN125" i="13"/>
  <c r="AQ55" i="13" s="1"/>
  <c r="AM260" i="13"/>
  <c r="AD199" i="13"/>
  <c r="G198" i="13"/>
  <c r="E198" i="13"/>
  <c r="Q198" i="13"/>
  <c r="T198" i="13"/>
  <c r="B127" i="13"/>
  <c r="I198" i="13"/>
  <c r="O127" i="13"/>
  <c r="G127" i="13"/>
  <c r="K127" i="13"/>
  <c r="N198" i="13"/>
  <c r="C127" i="13"/>
  <c r="C198" i="13"/>
  <c r="AU108" i="13"/>
  <c r="AY108" i="13"/>
  <c r="BC108" i="13"/>
  <c r="BG108" i="13"/>
  <c r="BK108" i="13"/>
  <c r="BO108" i="13"/>
  <c r="AZ108" i="13"/>
  <c r="BE108" i="13"/>
  <c r="BJ108" i="13"/>
  <c r="AV108" i="13"/>
  <c r="BB108" i="13"/>
  <c r="BI108" i="13"/>
  <c r="BQ108" i="13"/>
  <c r="AX108" i="13"/>
  <c r="BH108" i="13"/>
  <c r="BA108" i="13"/>
  <c r="BL108" i="13"/>
  <c r="BD108" i="13"/>
  <c r="BF108" i="13"/>
  <c r="BM108" i="13"/>
  <c r="BN108" i="13"/>
  <c r="AW108" i="13"/>
  <c r="AT108" i="13"/>
  <c r="X127" i="13"/>
  <c r="D198" i="13"/>
  <c r="B198" i="13"/>
  <c r="J198" i="13"/>
  <c r="J127" i="13"/>
  <c r="M127" i="13"/>
  <c r="E127" i="13"/>
  <c r="D127" i="13"/>
  <c r="Y198" i="13"/>
  <c r="Q127" i="13"/>
  <c r="W198" i="13"/>
  <c r="X198" i="13"/>
  <c r="A110" i="13"/>
  <c r="AS110" i="13" s="1"/>
  <c r="L127" i="13"/>
  <c r="P127" i="13"/>
  <c r="F127" i="13"/>
  <c r="H127" i="13"/>
  <c r="L198" i="13"/>
  <c r="Y127" i="13"/>
  <c r="U198" i="13"/>
  <c r="V198" i="13"/>
  <c r="R198" i="13"/>
  <c r="S198" i="13"/>
  <c r="P198" i="13"/>
  <c r="F198" i="13"/>
  <c r="K198" i="13"/>
  <c r="N127" i="13"/>
  <c r="R127" i="13"/>
  <c r="M198" i="13"/>
  <c r="H198" i="13"/>
  <c r="O198" i="13"/>
  <c r="I127" i="13"/>
  <c r="K17" i="12"/>
  <c r="G18" i="12"/>
  <c r="G18" i="11"/>
  <c r="V39" i="2"/>
  <c r="V42" i="2"/>
  <c r="V43" i="2"/>
  <c r="C47" i="2"/>
  <c r="D47" i="2" s="1"/>
  <c r="F12" i="7"/>
  <c r="O38" i="2"/>
  <c r="O43" i="2"/>
  <c r="O39" i="2"/>
  <c r="O42" i="2"/>
  <c r="O40" i="2"/>
  <c r="O41" i="2"/>
  <c r="G7" i="2"/>
  <c r="K7" i="2" s="1"/>
  <c r="D46" i="2"/>
  <c r="B39" i="2" s="1"/>
  <c r="G25" i="2"/>
  <c r="K25" i="2" s="1"/>
  <c r="U43" i="2"/>
  <c r="R13" i="3"/>
  <c r="R14" i="3" s="1"/>
  <c r="R15" i="3" s="1"/>
  <c r="R16" i="3" s="1"/>
  <c r="R17" i="3" s="1"/>
  <c r="R18" i="3" s="1"/>
  <c r="R19" i="3" s="1"/>
  <c r="R20" i="3" s="1"/>
  <c r="R21" i="3" s="1"/>
  <c r="R22" i="3" s="1"/>
  <c r="R23" i="3" s="1"/>
  <c r="R24" i="3" s="1"/>
  <c r="R25" i="3" s="1"/>
  <c r="R26" i="3" s="1"/>
  <c r="R27" i="3" s="1"/>
  <c r="R28" i="3" s="1"/>
  <c r="R29" i="3" s="1"/>
  <c r="R30" i="3" s="1"/>
  <c r="R31" i="3" s="1"/>
  <c r="R32" i="3" s="1"/>
  <c r="R33" i="3" s="1"/>
  <c r="R34" i="3" s="1"/>
  <c r="R35" i="3" s="1"/>
  <c r="R36" i="3" s="1"/>
  <c r="P29" i="2"/>
  <c r="G18" i="2"/>
  <c r="D27" i="1"/>
  <c r="E3" i="1"/>
  <c r="E27" i="1" s="1"/>
  <c r="B28" i="1" s="1"/>
  <c r="C27" i="1"/>
  <c r="Z209" i="13" l="1"/>
  <c r="AB209" i="13"/>
  <c r="AB116" i="13"/>
  <c r="AA209" i="13"/>
  <c r="Z116" i="13"/>
  <c r="AA116" i="13"/>
  <c r="K18" i="2"/>
  <c r="Z90" i="14"/>
  <c r="CA110" i="13"/>
  <c r="BZ110" i="13"/>
  <c r="CC110" i="13"/>
  <c r="CB110" i="13"/>
  <c r="AJ202" i="13"/>
  <c r="AH202" i="13"/>
  <c r="AJ262" i="13"/>
  <c r="AI262" i="13"/>
  <c r="AI202" i="13"/>
  <c r="AK202" i="13"/>
  <c r="AH263" i="13"/>
  <c r="AN124" i="13"/>
  <c r="AO200" i="13"/>
  <c r="AE260" i="13"/>
  <c r="AP260" i="13"/>
  <c r="AD200" i="13"/>
  <c r="AP200" i="13"/>
  <c r="AL200" i="13"/>
  <c r="AL124" i="13"/>
  <c r="AM124" i="13"/>
  <c r="AM200" i="13"/>
  <c r="AC261" i="13"/>
  <c r="AL260" i="13"/>
  <c r="AQ124" i="13"/>
  <c r="AF260" i="13"/>
  <c r="AF200" i="13"/>
  <c r="AP124" i="13"/>
  <c r="AQ200" i="13"/>
  <c r="AM261" i="13"/>
  <c r="AG261" i="13"/>
  <c r="AC200" i="13"/>
  <c r="AG200" i="13"/>
  <c r="AE200" i="13"/>
  <c r="AQ262" i="13"/>
  <c r="AO124" i="13"/>
  <c r="AO260" i="13"/>
  <c r="AN201" i="13"/>
  <c r="AR200" i="13"/>
  <c r="AN260" i="13"/>
  <c r="AR124" i="13"/>
  <c r="AD261" i="13"/>
  <c r="AR261" i="13"/>
  <c r="I126" i="13"/>
  <c r="M199" i="13"/>
  <c r="S199" i="13"/>
  <c r="V199" i="13"/>
  <c r="H126" i="13"/>
  <c r="L126" i="13"/>
  <c r="C126" i="13"/>
  <c r="B126" i="13"/>
  <c r="R199" i="13"/>
  <c r="Q126" i="13"/>
  <c r="Y199" i="13"/>
  <c r="E126" i="13"/>
  <c r="B199" i="13"/>
  <c r="X126" i="13"/>
  <c r="I199" i="13"/>
  <c r="E199" i="13"/>
  <c r="H199" i="13"/>
  <c r="R126" i="13"/>
  <c r="K199" i="13"/>
  <c r="P199" i="13"/>
  <c r="U199" i="13"/>
  <c r="L199" i="13"/>
  <c r="F126" i="13"/>
  <c r="P126" i="13"/>
  <c r="A111" i="13"/>
  <c r="AS111" i="13" s="1"/>
  <c r="W199" i="13"/>
  <c r="C199" i="13"/>
  <c r="N199" i="13"/>
  <c r="Q199" i="13"/>
  <c r="N126" i="13"/>
  <c r="Y126" i="13"/>
  <c r="X199" i="13"/>
  <c r="K126" i="13"/>
  <c r="T199" i="13"/>
  <c r="AV109" i="13"/>
  <c r="AZ109" i="13"/>
  <c r="BD109" i="13"/>
  <c r="BH109" i="13"/>
  <c r="BL109" i="13"/>
  <c r="AX109" i="13"/>
  <c r="BC109" i="13"/>
  <c r="BI109" i="13"/>
  <c r="BN109" i="13"/>
  <c r="BA109" i="13"/>
  <c r="BG109" i="13"/>
  <c r="BO109" i="13"/>
  <c r="AU109" i="13"/>
  <c r="BE109" i="13"/>
  <c r="BM109" i="13"/>
  <c r="AW109" i="13"/>
  <c r="BF109" i="13"/>
  <c r="BQ109" i="13"/>
  <c r="AY109" i="13"/>
  <c r="BB109" i="13"/>
  <c r="BJ109" i="13"/>
  <c r="BK109" i="13"/>
  <c r="AT109" i="13"/>
  <c r="J126" i="13"/>
  <c r="O199" i="13"/>
  <c r="F199" i="13"/>
  <c r="D126" i="13"/>
  <c r="M126" i="13"/>
  <c r="J199" i="13"/>
  <c r="D199" i="13"/>
  <c r="G126" i="13"/>
  <c r="O126" i="13"/>
  <c r="G199" i="13"/>
  <c r="K18" i="12"/>
  <c r="G19" i="12"/>
  <c r="K19" i="12" s="1"/>
  <c r="G19" i="11"/>
  <c r="P38" i="2"/>
  <c r="K43" i="2"/>
  <c r="U38" i="2"/>
  <c r="X38" i="2" s="1"/>
  <c r="R43" i="2"/>
  <c r="J40" i="2"/>
  <c r="K40" i="2" s="1"/>
  <c r="N40" i="2" s="1"/>
  <c r="J39" i="2"/>
  <c r="K39" i="2" s="1"/>
  <c r="J41" i="2"/>
  <c r="K41" i="2" s="1"/>
  <c r="N41" i="2" s="1"/>
  <c r="J42" i="2"/>
  <c r="K42" i="2" s="1"/>
  <c r="N42" i="2" s="1"/>
  <c r="U42" i="2"/>
  <c r="X42" i="2" s="1"/>
  <c r="U39" i="2"/>
  <c r="X39" i="2" s="1"/>
  <c r="X43" i="2"/>
  <c r="U41" i="2"/>
  <c r="X41" i="2" s="1"/>
  <c r="U40" i="2"/>
  <c r="X40" i="2" s="1"/>
  <c r="Y43" i="2"/>
  <c r="Z14" i="2" s="1"/>
  <c r="Y42" i="2"/>
  <c r="V41" i="2"/>
  <c r="Y41" i="2" s="1"/>
  <c r="V40" i="2"/>
  <c r="Y40" i="2" s="1"/>
  <c r="Y39" i="2"/>
  <c r="P39" i="2"/>
  <c r="Q39" i="2" s="1"/>
  <c r="P41" i="2"/>
  <c r="P40" i="2"/>
  <c r="P42" i="2"/>
  <c r="P43" i="2"/>
  <c r="Q43" i="2" s="1"/>
  <c r="G6" i="2"/>
  <c r="K6" i="2" s="1"/>
  <c r="P35" i="2"/>
  <c r="G26" i="2"/>
  <c r="K26" i="2" s="1"/>
  <c r="G3" i="7"/>
  <c r="G8" i="7"/>
  <c r="G19" i="2"/>
  <c r="B29" i="1"/>
  <c r="C28" i="1"/>
  <c r="AA115" i="13" l="1"/>
  <c r="AA210" i="13"/>
  <c r="AB210" i="13"/>
  <c r="Z115" i="13"/>
  <c r="AB115" i="13"/>
  <c r="Z210" i="13"/>
  <c r="K19" i="2"/>
  <c r="Z91" i="14"/>
  <c r="BZ111" i="13"/>
  <c r="CB111" i="13"/>
  <c r="CA111" i="13"/>
  <c r="CC111" i="13"/>
  <c r="AK203" i="13"/>
  <c r="AI263" i="13"/>
  <c r="AH203" i="13"/>
  <c r="AH264" i="13"/>
  <c r="AI203" i="13"/>
  <c r="AJ263" i="13"/>
  <c r="AJ203" i="13"/>
  <c r="AG201" i="13"/>
  <c r="AP123" i="13"/>
  <c r="AP261" i="13"/>
  <c r="AD262" i="13"/>
  <c r="AN261" i="13"/>
  <c r="AO261" i="13"/>
  <c r="AQ263" i="13"/>
  <c r="AG262" i="13"/>
  <c r="AF261" i="13"/>
  <c r="AL261" i="13"/>
  <c r="AM201" i="13"/>
  <c r="AL123" i="13"/>
  <c r="AP201" i="13"/>
  <c r="AO201" i="13"/>
  <c r="AN123" i="13"/>
  <c r="AR262" i="13"/>
  <c r="AR123" i="13"/>
  <c r="AR201" i="13"/>
  <c r="AN202" i="13"/>
  <c r="AO123" i="13"/>
  <c r="AE201" i="13"/>
  <c r="AC201" i="13"/>
  <c r="AM262" i="13"/>
  <c r="AQ201" i="13"/>
  <c r="AF201" i="13"/>
  <c r="AQ123" i="13"/>
  <c r="AC262" i="13"/>
  <c r="AM123" i="13"/>
  <c r="AL201" i="13"/>
  <c r="AD201" i="13"/>
  <c r="AE261" i="13"/>
  <c r="G200" i="13"/>
  <c r="G125" i="13"/>
  <c r="D125" i="13"/>
  <c r="O200" i="13"/>
  <c r="AW110" i="13"/>
  <c r="BA110" i="13"/>
  <c r="BE110" i="13"/>
  <c r="BI110" i="13"/>
  <c r="BM110" i="13"/>
  <c r="BQ110" i="13"/>
  <c r="AV110" i="13"/>
  <c r="BB110" i="13"/>
  <c r="BG110" i="13"/>
  <c r="BL110" i="13"/>
  <c r="AY110" i="13"/>
  <c r="BF110" i="13"/>
  <c r="BN110" i="13"/>
  <c r="AZ110" i="13"/>
  <c r="BJ110" i="13"/>
  <c r="BC110" i="13"/>
  <c r="BK110" i="13"/>
  <c r="AU110" i="13"/>
  <c r="BO110" i="13"/>
  <c r="AX110" i="13"/>
  <c r="BD110" i="13"/>
  <c r="BH110" i="13"/>
  <c r="AT110" i="13"/>
  <c r="K125" i="13"/>
  <c r="N125" i="13"/>
  <c r="C200" i="13"/>
  <c r="A112" i="13"/>
  <c r="AS112" i="13" s="1"/>
  <c r="F125" i="13"/>
  <c r="U200" i="13"/>
  <c r="K200" i="13"/>
  <c r="H200" i="13"/>
  <c r="I200" i="13"/>
  <c r="B200" i="13"/>
  <c r="Y200" i="13"/>
  <c r="R200" i="13"/>
  <c r="B125" i="13"/>
  <c r="L125" i="13"/>
  <c r="V200" i="13"/>
  <c r="M200" i="13"/>
  <c r="O125" i="13"/>
  <c r="D200" i="13"/>
  <c r="M125" i="13"/>
  <c r="F200" i="13"/>
  <c r="J125" i="13"/>
  <c r="J200" i="13"/>
  <c r="T200" i="13"/>
  <c r="X200" i="13"/>
  <c r="Y125" i="13"/>
  <c r="Q200" i="13"/>
  <c r="N200" i="13"/>
  <c r="W200" i="13"/>
  <c r="P125" i="13"/>
  <c r="L200" i="13"/>
  <c r="P200" i="13"/>
  <c r="R125" i="13"/>
  <c r="E200" i="13"/>
  <c r="X125" i="13"/>
  <c r="E125" i="13"/>
  <c r="Q125" i="13"/>
  <c r="C125" i="13"/>
  <c r="H125" i="13"/>
  <c r="S200" i="13"/>
  <c r="I125" i="13"/>
  <c r="P21" i="5"/>
  <c r="Q38" i="2"/>
  <c r="E9" i="7"/>
  <c r="G9" i="7" s="1"/>
  <c r="G13" i="7" s="1"/>
  <c r="R39" i="2"/>
  <c r="R41" i="2"/>
  <c r="R42" i="2"/>
  <c r="S40" i="2"/>
  <c r="Q40" i="2"/>
  <c r="T40" i="2" s="1"/>
  <c r="M39" i="2"/>
  <c r="S39" i="2" s="1"/>
  <c r="N39" i="2"/>
  <c r="T39" i="2" s="1"/>
  <c r="Q42" i="2"/>
  <c r="T42" i="2" s="1"/>
  <c r="S42" i="2"/>
  <c r="S41" i="2"/>
  <c r="Q41" i="2"/>
  <c r="T41" i="2" s="1"/>
  <c r="R40" i="2"/>
  <c r="G5" i="2"/>
  <c r="K5" i="2" s="1"/>
  <c r="Z19" i="2"/>
  <c r="P26" i="5" s="1"/>
  <c r="G27" i="2"/>
  <c r="K27" i="2" s="1"/>
  <c r="Z211" i="13" l="1"/>
  <c r="Z114" i="13"/>
  <c r="AU54" i="13"/>
  <c r="AA211" i="13"/>
  <c r="AB114" i="13"/>
  <c r="AW54" i="13"/>
  <c r="AB211" i="13"/>
  <c r="AA114" i="13"/>
  <c r="AV54" i="13"/>
  <c r="CB112" i="13"/>
  <c r="CA112" i="13"/>
  <c r="CC112" i="13"/>
  <c r="BZ112" i="13"/>
  <c r="AH265" i="13"/>
  <c r="AK69" i="13" s="1"/>
  <c r="AI264" i="13"/>
  <c r="AJ264" i="13"/>
  <c r="AJ204" i="13"/>
  <c r="AI204" i="13"/>
  <c r="AH204" i="13"/>
  <c r="AK204" i="13"/>
  <c r="AE262" i="13"/>
  <c r="AF202" i="13"/>
  <c r="AM263" i="13"/>
  <c r="AR263" i="13"/>
  <c r="AL262" i="13"/>
  <c r="AP122" i="13"/>
  <c r="AL202" i="13"/>
  <c r="AC263" i="13"/>
  <c r="AE202" i="13"/>
  <c r="AR202" i="13"/>
  <c r="AO202" i="13"/>
  <c r="AL122" i="13"/>
  <c r="AQ264" i="13"/>
  <c r="AD263" i="13"/>
  <c r="AD202" i="13"/>
  <c r="AM122" i="13"/>
  <c r="AQ122" i="13"/>
  <c r="AQ202" i="13"/>
  <c r="AC202" i="13"/>
  <c r="AO122" i="13"/>
  <c r="AN203" i="13"/>
  <c r="AR122" i="13"/>
  <c r="AN122" i="13"/>
  <c r="AP202" i="13"/>
  <c r="AM202" i="13"/>
  <c r="AF262" i="13"/>
  <c r="AG263" i="13"/>
  <c r="AO262" i="13"/>
  <c r="AN262" i="13"/>
  <c r="AP262" i="13"/>
  <c r="AG202" i="13"/>
  <c r="H124" i="13"/>
  <c r="O55" i="13"/>
  <c r="L55" i="13"/>
  <c r="E124" i="13"/>
  <c r="E201" i="13"/>
  <c r="P124" i="13"/>
  <c r="W55" i="13"/>
  <c r="Y124" i="13"/>
  <c r="AY55" i="13"/>
  <c r="T201" i="13"/>
  <c r="AB55" i="13"/>
  <c r="D201" i="13"/>
  <c r="S55" i="13"/>
  <c r="L124" i="13"/>
  <c r="R201" i="13"/>
  <c r="B201" i="13"/>
  <c r="H201" i="13"/>
  <c r="U201" i="13"/>
  <c r="A113" i="13"/>
  <c r="AS113" i="13" s="1"/>
  <c r="AD55" i="13"/>
  <c r="AC55" i="13"/>
  <c r="Z55" i="13"/>
  <c r="N55" i="13"/>
  <c r="G124" i="13"/>
  <c r="S201" i="13"/>
  <c r="C124" i="13"/>
  <c r="J55" i="13"/>
  <c r="Q124" i="13"/>
  <c r="X55" i="13"/>
  <c r="X124" i="13"/>
  <c r="AE55" i="13"/>
  <c r="Y55" i="13"/>
  <c r="R124" i="13"/>
  <c r="L201" i="13"/>
  <c r="W201" i="13"/>
  <c r="Q201" i="13"/>
  <c r="X201" i="13"/>
  <c r="J201" i="13"/>
  <c r="F201" i="13"/>
  <c r="T55" i="13"/>
  <c r="M124" i="13"/>
  <c r="O124" i="13"/>
  <c r="V55" i="13"/>
  <c r="V201" i="13"/>
  <c r="B124" i="13"/>
  <c r="I55" i="13"/>
  <c r="Y201" i="13"/>
  <c r="I201" i="13"/>
  <c r="K201" i="13"/>
  <c r="M55" i="13"/>
  <c r="F124" i="13"/>
  <c r="C201" i="13"/>
  <c r="N124" i="13"/>
  <c r="U55" i="13"/>
  <c r="K124" i="13"/>
  <c r="R55" i="13"/>
  <c r="I124" i="13"/>
  <c r="P55" i="13"/>
  <c r="AA55" i="13"/>
  <c r="P201" i="13"/>
  <c r="N201" i="13"/>
  <c r="J124" i="13"/>
  <c r="Q55" i="13"/>
  <c r="M201" i="13"/>
  <c r="AX111" i="13"/>
  <c r="BB111" i="13"/>
  <c r="BF111" i="13"/>
  <c r="BJ111" i="13"/>
  <c r="BN111" i="13"/>
  <c r="AU111" i="13"/>
  <c r="AZ111" i="13"/>
  <c r="BE111" i="13"/>
  <c r="BK111" i="13"/>
  <c r="AW111" i="13"/>
  <c r="BD111" i="13"/>
  <c r="BL111" i="13"/>
  <c r="AV111" i="13"/>
  <c r="BG111" i="13"/>
  <c r="BO111" i="13"/>
  <c r="AT111" i="13"/>
  <c r="AY111" i="13"/>
  <c r="BH111" i="13"/>
  <c r="BQ111" i="13"/>
  <c r="BI111" i="13"/>
  <c r="BM111" i="13"/>
  <c r="BA111" i="13"/>
  <c r="BC111" i="13"/>
  <c r="O201" i="13"/>
  <c r="D124" i="13"/>
  <c r="K55" i="13"/>
  <c r="G201" i="13"/>
  <c r="V38" i="2"/>
  <c r="Y38" i="2" s="1"/>
  <c r="N43" i="2"/>
  <c r="T43" i="2" s="1"/>
  <c r="M43" i="2"/>
  <c r="Z9" i="2" s="1"/>
  <c r="S43" i="2"/>
  <c r="Z15" i="2"/>
  <c r="P22" i="5" s="1"/>
  <c r="G28" i="2"/>
  <c r="K28" i="2" s="1"/>
  <c r="P14" i="5"/>
  <c r="AB113" i="13" l="1"/>
  <c r="AB212" i="13"/>
  <c r="Z113" i="13"/>
  <c r="AA212" i="13"/>
  <c r="AA113" i="13"/>
  <c r="Z212" i="13"/>
  <c r="BZ113" i="13"/>
  <c r="CC113" i="13"/>
  <c r="CB113" i="13"/>
  <c r="CA113" i="13"/>
  <c r="AJ205" i="13"/>
  <c r="AM63" i="13" s="1"/>
  <c r="CD63" i="13" s="1"/>
  <c r="AH205" i="13"/>
  <c r="AK63" i="13" s="1"/>
  <c r="CB63" i="13" s="1"/>
  <c r="AI265" i="13"/>
  <c r="AL69" i="13" s="1"/>
  <c r="AK205" i="13"/>
  <c r="AN63" i="13" s="1"/>
  <c r="CE63" i="13" s="1"/>
  <c r="AI205" i="13"/>
  <c r="AL63" i="13" s="1"/>
  <c r="CC63" i="13" s="1"/>
  <c r="AJ265" i="13"/>
  <c r="AM69" i="13" s="1"/>
  <c r="AH266" i="13"/>
  <c r="AF263" i="13"/>
  <c r="AL121" i="13"/>
  <c r="AP263" i="13"/>
  <c r="AO263" i="13"/>
  <c r="AP203" i="13"/>
  <c r="AR121" i="13"/>
  <c r="AO121" i="13"/>
  <c r="AQ203" i="13"/>
  <c r="AM121" i="13"/>
  <c r="AD264" i="13"/>
  <c r="AQ265" i="13"/>
  <c r="AT69" i="13" s="1"/>
  <c r="AR203" i="13"/>
  <c r="AC264" i="13"/>
  <c r="AP121" i="13"/>
  <c r="AR264" i="13"/>
  <c r="AM264" i="13"/>
  <c r="AE263" i="13"/>
  <c r="AG203" i="13"/>
  <c r="AN263" i="13"/>
  <c r="AG264" i="13"/>
  <c r="AM203" i="13"/>
  <c r="AN121" i="13"/>
  <c r="AN204" i="13"/>
  <c r="AC203" i="13"/>
  <c r="AQ121" i="13"/>
  <c r="AD203" i="13"/>
  <c r="AO203" i="13"/>
  <c r="AE203" i="13"/>
  <c r="AL203" i="13"/>
  <c r="AL263" i="13"/>
  <c r="AF203" i="13"/>
  <c r="G202" i="13"/>
  <c r="F123" i="13"/>
  <c r="Y202" i="13"/>
  <c r="L123" i="13"/>
  <c r="D202" i="13"/>
  <c r="P202" i="13"/>
  <c r="K123" i="13"/>
  <c r="V202" i="13"/>
  <c r="M123" i="13"/>
  <c r="F202" i="13"/>
  <c r="X202" i="13"/>
  <c r="W202" i="13"/>
  <c r="S202" i="13"/>
  <c r="U202" i="13"/>
  <c r="B202" i="13"/>
  <c r="T202" i="13"/>
  <c r="E202" i="13"/>
  <c r="D123" i="13"/>
  <c r="M202" i="13"/>
  <c r="I123" i="13"/>
  <c r="I202" i="13"/>
  <c r="B123" i="13"/>
  <c r="C123" i="13"/>
  <c r="G123" i="13"/>
  <c r="AU112" i="13"/>
  <c r="AY112" i="13"/>
  <c r="BC112" i="13"/>
  <c r="BG112" i="13"/>
  <c r="BK112" i="13"/>
  <c r="BO112" i="13"/>
  <c r="AX112" i="13"/>
  <c r="BD112" i="13"/>
  <c r="BI112" i="13"/>
  <c r="BN112" i="13"/>
  <c r="AV112" i="13"/>
  <c r="BB112" i="13"/>
  <c r="BJ112" i="13"/>
  <c r="BQ112" i="13"/>
  <c r="BA112" i="13"/>
  <c r="BL112" i="13"/>
  <c r="BE112" i="13"/>
  <c r="BM112" i="13"/>
  <c r="BF112" i="13"/>
  <c r="BH112" i="13"/>
  <c r="AW112" i="13"/>
  <c r="AZ112" i="13"/>
  <c r="AT112" i="13"/>
  <c r="P123" i="13"/>
  <c r="E123" i="13"/>
  <c r="H123" i="13"/>
  <c r="J123" i="13"/>
  <c r="N123" i="13"/>
  <c r="K202" i="13"/>
  <c r="R123" i="13"/>
  <c r="X123" i="13"/>
  <c r="O202" i="13"/>
  <c r="N202" i="13"/>
  <c r="C202" i="13"/>
  <c r="O123" i="13"/>
  <c r="J202" i="13"/>
  <c r="Q202" i="13"/>
  <c r="L202" i="13"/>
  <c r="Q123" i="13"/>
  <c r="A114" i="13"/>
  <c r="AS114" i="13" s="1"/>
  <c r="H202" i="13"/>
  <c r="R202" i="13"/>
  <c r="Y123" i="13"/>
  <c r="P10" i="5"/>
  <c r="Z5" i="2"/>
  <c r="Z7" i="2"/>
  <c r="Z10" i="2"/>
  <c r="G29" i="2"/>
  <c r="K29" i="2" s="1"/>
  <c r="P12" i="5"/>
  <c r="P15" i="5"/>
  <c r="BS114" i="13" l="1"/>
  <c r="BT114" i="13"/>
  <c r="BR114" i="13"/>
  <c r="Z213" i="13"/>
  <c r="AA213" i="13"/>
  <c r="AB213" i="13"/>
  <c r="AA112" i="13"/>
  <c r="BS113" i="13" s="1"/>
  <c r="Z112" i="13"/>
  <c r="BR113" i="13" s="1"/>
  <c r="AB112" i="13"/>
  <c r="BT113" i="13" s="1"/>
  <c r="DV63" i="13"/>
  <c r="DY63" i="13"/>
  <c r="DW63" i="13"/>
  <c r="DX63" i="13"/>
  <c r="CA114" i="13"/>
  <c r="BZ114" i="13"/>
  <c r="CC114" i="13"/>
  <c r="CB114" i="13"/>
  <c r="AJ266" i="13"/>
  <c r="AK206" i="13"/>
  <c r="AH206" i="13"/>
  <c r="AH267" i="13"/>
  <c r="AI206" i="13"/>
  <c r="AI266" i="13"/>
  <c r="AJ206" i="13"/>
  <c r="AO204" i="13"/>
  <c r="AC204" i="13"/>
  <c r="AG204" i="13"/>
  <c r="AM120" i="13"/>
  <c r="AL204" i="13"/>
  <c r="AD204" i="13"/>
  <c r="AN120" i="13"/>
  <c r="AG265" i="13"/>
  <c r="AJ69" i="13" s="1"/>
  <c r="AM265" i="13"/>
  <c r="AP69" i="13" s="1"/>
  <c r="AP120" i="13"/>
  <c r="AR204" i="13"/>
  <c r="AD265" i="13"/>
  <c r="AG69" i="13" s="1"/>
  <c r="AO120" i="13"/>
  <c r="AP204" i="13"/>
  <c r="AP264" i="13"/>
  <c r="AF264" i="13"/>
  <c r="AF204" i="13"/>
  <c r="AL264" i="13"/>
  <c r="AE204" i="13"/>
  <c r="AQ120" i="13"/>
  <c r="AN205" i="13"/>
  <c r="AQ63" i="13" s="1"/>
  <c r="CH63" i="13" s="1"/>
  <c r="AM204" i="13"/>
  <c r="AN264" i="13"/>
  <c r="AE264" i="13"/>
  <c r="AR265" i="13"/>
  <c r="AX69" i="13" s="1"/>
  <c r="AC265" i="13"/>
  <c r="AF69" i="13" s="1"/>
  <c r="AQ266" i="13"/>
  <c r="AQ204" i="13"/>
  <c r="AR120" i="13"/>
  <c r="AO264" i="13"/>
  <c r="AL120" i="13"/>
  <c r="Y122" i="13"/>
  <c r="Q122" i="13"/>
  <c r="O122" i="13"/>
  <c r="X122" i="13"/>
  <c r="K203" i="13"/>
  <c r="E122" i="13"/>
  <c r="AV113" i="13"/>
  <c r="AZ113" i="13"/>
  <c r="BD113" i="13"/>
  <c r="BH113" i="13"/>
  <c r="BL113" i="13"/>
  <c r="AW113" i="13"/>
  <c r="BB113" i="13"/>
  <c r="BG113" i="13"/>
  <c r="BM113" i="13"/>
  <c r="BA113" i="13"/>
  <c r="BI113" i="13"/>
  <c r="BO113" i="13"/>
  <c r="AX113" i="13"/>
  <c r="BF113" i="13"/>
  <c r="BQ113" i="13"/>
  <c r="AY113" i="13"/>
  <c r="BJ113" i="13"/>
  <c r="BC113" i="13"/>
  <c r="BE113" i="13"/>
  <c r="BK113" i="13"/>
  <c r="BN113" i="13"/>
  <c r="AT113" i="13"/>
  <c r="AU113" i="13"/>
  <c r="C122" i="13"/>
  <c r="I203" i="13"/>
  <c r="D122" i="13"/>
  <c r="T203" i="13"/>
  <c r="B203" i="13"/>
  <c r="S203" i="13"/>
  <c r="X203" i="13"/>
  <c r="M122" i="13"/>
  <c r="K122" i="13"/>
  <c r="D203" i="13"/>
  <c r="F122" i="13"/>
  <c r="R203" i="13"/>
  <c r="A115" i="13"/>
  <c r="AS115" i="13" s="1"/>
  <c r="L203" i="13"/>
  <c r="J203" i="13"/>
  <c r="C203" i="13"/>
  <c r="O203" i="13"/>
  <c r="R122" i="13"/>
  <c r="N122" i="13"/>
  <c r="H122" i="13"/>
  <c r="P122" i="13"/>
  <c r="H203" i="13"/>
  <c r="Q203" i="13"/>
  <c r="N203" i="13"/>
  <c r="J122" i="13"/>
  <c r="G122" i="13"/>
  <c r="B122" i="13"/>
  <c r="I122" i="13"/>
  <c r="M203" i="13"/>
  <c r="E203" i="13"/>
  <c r="U203" i="13"/>
  <c r="W203" i="13"/>
  <c r="F203" i="13"/>
  <c r="V203" i="13"/>
  <c r="P203" i="13"/>
  <c r="L122" i="13"/>
  <c r="Y203" i="13"/>
  <c r="G203" i="13"/>
  <c r="Z8" i="2"/>
  <c r="Z4" i="2"/>
  <c r="Z6" i="2"/>
  <c r="G30" i="2"/>
  <c r="K30" i="2" s="1"/>
  <c r="P11" i="5"/>
  <c r="P33" i="5" s="1"/>
  <c r="P13" i="5"/>
  <c r="BR115" i="13" l="1"/>
  <c r="BT115" i="13"/>
  <c r="BS115" i="13"/>
  <c r="Z111" i="13"/>
  <c r="BR112" i="13" s="1"/>
  <c r="AB214" i="13"/>
  <c r="Z214" i="13"/>
  <c r="AB111" i="13"/>
  <c r="BT112" i="13" s="1"/>
  <c r="AA111" i="13"/>
  <c r="BS112" i="13" s="1"/>
  <c r="AA214" i="13"/>
  <c r="EB63" i="13"/>
  <c r="CC115" i="13"/>
  <c r="BZ115" i="13"/>
  <c r="CB115" i="13"/>
  <c r="CA115" i="13"/>
  <c r="AI267" i="13"/>
  <c r="AH268" i="13"/>
  <c r="AK207" i="13"/>
  <c r="AJ207" i="13"/>
  <c r="AI207" i="13"/>
  <c r="AH207" i="13"/>
  <c r="AJ267" i="13"/>
  <c r="AO265" i="13"/>
  <c r="AR69" i="13" s="1"/>
  <c r="AQ267" i="13"/>
  <c r="AN206" i="13"/>
  <c r="AF205" i="13"/>
  <c r="AI63" i="13" s="1"/>
  <c r="BZ63" i="13" s="1"/>
  <c r="AQ205" i="13"/>
  <c r="AT63" i="13" s="1"/>
  <c r="CK63" i="13" s="1"/>
  <c r="AR266" i="13"/>
  <c r="AN265" i="13"/>
  <c r="AQ69" i="13" s="1"/>
  <c r="AE205" i="13"/>
  <c r="AH63" i="13" s="1"/>
  <c r="BY63" i="13" s="1"/>
  <c r="AP265" i="13"/>
  <c r="AS69" i="13" s="1"/>
  <c r="AO119" i="13"/>
  <c r="AR205" i="13"/>
  <c r="AX63" i="13" s="1"/>
  <c r="CO63" i="13" s="1"/>
  <c r="AM266" i="13"/>
  <c r="AN119" i="13"/>
  <c r="AM119" i="13"/>
  <c r="AC205" i="13"/>
  <c r="AF63" i="13" s="1"/>
  <c r="BW63" i="13" s="1"/>
  <c r="AL119" i="13"/>
  <c r="AR119" i="13"/>
  <c r="AC266" i="13"/>
  <c r="AE265" i="13"/>
  <c r="AH69" i="13" s="1"/>
  <c r="AM205" i="13"/>
  <c r="AP63" i="13" s="1"/>
  <c r="CG63" i="13" s="1"/>
  <c r="AQ119" i="13"/>
  <c r="AL265" i="13"/>
  <c r="AO69" i="13" s="1"/>
  <c r="AF265" i="13"/>
  <c r="AI69" i="13" s="1"/>
  <c r="AP205" i="13"/>
  <c r="AS63" i="13" s="1"/>
  <c r="CJ63" i="13" s="1"/>
  <c r="AD266" i="13"/>
  <c r="AP119" i="13"/>
  <c r="AG266" i="13"/>
  <c r="AD205" i="13"/>
  <c r="AG63" i="13" s="1"/>
  <c r="BX63" i="13" s="1"/>
  <c r="AL205" i="13"/>
  <c r="AO63" i="13" s="1"/>
  <c r="CF63" i="13" s="1"/>
  <c r="AG205" i="13"/>
  <c r="AJ63" i="13" s="1"/>
  <c r="CA63" i="13" s="1"/>
  <c r="AO205" i="13"/>
  <c r="AR63" i="13" s="1"/>
  <c r="CI63" i="13" s="1"/>
  <c r="W204" i="13"/>
  <c r="U204" i="13"/>
  <c r="N204" i="13"/>
  <c r="C204" i="13"/>
  <c r="R204" i="13"/>
  <c r="AW114" i="13"/>
  <c r="BA114" i="13"/>
  <c r="BE114" i="13"/>
  <c r="BI114" i="13"/>
  <c r="BM114" i="13"/>
  <c r="BQ114" i="13"/>
  <c r="AU114" i="13"/>
  <c r="AZ114" i="13"/>
  <c r="BF114" i="13"/>
  <c r="BK114" i="13"/>
  <c r="AY114" i="13"/>
  <c r="BG114" i="13"/>
  <c r="BN114" i="13"/>
  <c r="BC114" i="13"/>
  <c r="BL114" i="13"/>
  <c r="AV114" i="13"/>
  <c r="BD114" i="13"/>
  <c r="BO114" i="13"/>
  <c r="AX114" i="13"/>
  <c r="BB114" i="13"/>
  <c r="BH114" i="13"/>
  <c r="BJ114" i="13"/>
  <c r="AT114" i="13"/>
  <c r="X121" i="13"/>
  <c r="Y204" i="13"/>
  <c r="P204" i="13"/>
  <c r="F204" i="13"/>
  <c r="M204" i="13"/>
  <c r="Q204" i="13"/>
  <c r="O204" i="13"/>
  <c r="J204" i="13"/>
  <c r="A116" i="13"/>
  <c r="AS116" i="13" s="1"/>
  <c r="D204" i="13"/>
  <c r="S204" i="13"/>
  <c r="B204" i="13"/>
  <c r="I204" i="13"/>
  <c r="G204" i="13"/>
  <c r="V204" i="13"/>
  <c r="E204" i="13"/>
  <c r="H204" i="13"/>
  <c r="L204" i="13"/>
  <c r="X204" i="13"/>
  <c r="T204" i="13"/>
  <c r="K204" i="13"/>
  <c r="P9" i="5"/>
  <c r="G31" i="2"/>
  <c r="K31" i="2" s="1"/>
  <c r="AB215" i="13" l="1"/>
  <c r="AA110" i="13"/>
  <c r="BS111" i="13" s="1"/>
  <c r="Z215" i="13"/>
  <c r="Z110" i="13"/>
  <c r="BR111" i="13" s="1"/>
  <c r="BT116" i="13"/>
  <c r="BS116" i="13"/>
  <c r="BR116" i="13"/>
  <c r="AA215" i="13"/>
  <c r="AB110" i="13"/>
  <c r="DQ63" i="13"/>
  <c r="DU63" i="13"/>
  <c r="DZ63" i="13"/>
  <c r="EE63" i="13"/>
  <c r="EC63" i="13"/>
  <c r="EI63" i="13"/>
  <c r="DR63" i="13"/>
  <c r="ED63" i="13"/>
  <c r="EA63" i="13"/>
  <c r="DS63" i="13"/>
  <c r="DT63" i="13"/>
  <c r="BZ116" i="13"/>
  <c r="CC116" i="13"/>
  <c r="CA116" i="13"/>
  <c r="CB116" i="13"/>
  <c r="AH208" i="13"/>
  <c r="AJ208" i="13"/>
  <c r="AH269" i="13"/>
  <c r="AJ268" i="13"/>
  <c r="AI208" i="13"/>
  <c r="AK208" i="13"/>
  <c r="AI268" i="13"/>
  <c r="AG206" i="13"/>
  <c r="AP118" i="13"/>
  <c r="AL266" i="13"/>
  <c r="AL118" i="13"/>
  <c r="AR267" i="13"/>
  <c r="AD206" i="13"/>
  <c r="AP206" i="13"/>
  <c r="AQ118" i="13"/>
  <c r="AE266" i="13"/>
  <c r="AC206" i="13"/>
  <c r="AN118" i="13"/>
  <c r="AR206" i="13"/>
  <c r="AP266" i="13"/>
  <c r="AN207" i="13"/>
  <c r="AO266" i="13"/>
  <c r="AO206" i="13"/>
  <c r="AL206" i="13"/>
  <c r="AG267" i="13"/>
  <c r="AD267" i="13"/>
  <c r="AF266" i="13"/>
  <c r="AM206" i="13"/>
  <c r="AC267" i="13"/>
  <c r="AR118" i="13"/>
  <c r="AM118" i="13"/>
  <c r="AM267" i="13"/>
  <c r="AO118" i="13"/>
  <c r="AE206" i="13"/>
  <c r="AN266" i="13"/>
  <c r="AQ206" i="13"/>
  <c r="AF206" i="13"/>
  <c r="AQ268" i="13"/>
  <c r="L205" i="13"/>
  <c r="V205" i="13"/>
  <c r="R205" i="13"/>
  <c r="U205" i="13"/>
  <c r="K205" i="13"/>
  <c r="X205" i="13"/>
  <c r="S205" i="13"/>
  <c r="J205" i="13"/>
  <c r="P205" i="13"/>
  <c r="N205" i="13"/>
  <c r="E205" i="13"/>
  <c r="G205" i="13"/>
  <c r="AX115" i="13"/>
  <c r="BB115" i="13"/>
  <c r="BF115" i="13"/>
  <c r="BJ115" i="13"/>
  <c r="BN115" i="13"/>
  <c r="AY115" i="13"/>
  <c r="BD115" i="13"/>
  <c r="BI115" i="13"/>
  <c r="BO115" i="13"/>
  <c r="AW115" i="13"/>
  <c r="BE115" i="13"/>
  <c r="BL115" i="13"/>
  <c r="AZ115" i="13"/>
  <c r="BH115" i="13"/>
  <c r="BQ115" i="13"/>
  <c r="AT115" i="13"/>
  <c r="BA115" i="13"/>
  <c r="BK115" i="13"/>
  <c r="AU115" i="13"/>
  <c r="BM115" i="13"/>
  <c r="AV115" i="13"/>
  <c r="BC115" i="13"/>
  <c r="BG115" i="13"/>
  <c r="X120" i="13"/>
  <c r="C205" i="13"/>
  <c r="W205" i="13"/>
  <c r="I205" i="13"/>
  <c r="D205" i="13"/>
  <c r="T205" i="13"/>
  <c r="H205" i="13"/>
  <c r="B205" i="13"/>
  <c r="A117" i="13"/>
  <c r="AS117" i="13" s="1"/>
  <c r="O205" i="13"/>
  <c r="Q205" i="13"/>
  <c r="M205" i="13"/>
  <c r="F205" i="13"/>
  <c r="Y205" i="13"/>
  <c r="G32" i="2"/>
  <c r="K32" i="2" s="1"/>
  <c r="AB109" i="13" l="1"/>
  <c r="BT110" i="13" s="1"/>
  <c r="BT117" i="13"/>
  <c r="BS117" i="13"/>
  <c r="BR117" i="13"/>
  <c r="AA216" i="13"/>
  <c r="AV64" i="13"/>
  <c r="CM64" i="13" s="1"/>
  <c r="EG64" i="13" s="1"/>
  <c r="BT111" i="13"/>
  <c r="Z109" i="13"/>
  <c r="AA109" i="13"/>
  <c r="BS110" i="13" s="1"/>
  <c r="Z216" i="13"/>
  <c r="AU64" i="13"/>
  <c r="CL64" i="13" s="1"/>
  <c r="EF64" i="13" s="1"/>
  <c r="AB216" i="13"/>
  <c r="AW64" i="13"/>
  <c r="CN64" i="13" s="1"/>
  <c r="EH64" i="13" s="1"/>
  <c r="CB117" i="13"/>
  <c r="CC117" i="13"/>
  <c r="BZ117" i="13"/>
  <c r="CA117" i="13"/>
  <c r="AK209" i="13"/>
  <c r="AJ269" i="13"/>
  <c r="AJ209" i="13"/>
  <c r="AI269" i="13"/>
  <c r="AI209" i="13"/>
  <c r="AH270" i="13"/>
  <c r="AH209" i="13"/>
  <c r="AM117" i="13"/>
  <c r="AM207" i="13"/>
  <c r="AO207" i="13"/>
  <c r="AR207" i="13"/>
  <c r="AL267" i="13"/>
  <c r="AF207" i="13"/>
  <c r="AN267" i="13"/>
  <c r="AO117" i="13"/>
  <c r="AR117" i="13"/>
  <c r="AF267" i="13"/>
  <c r="AG268" i="13"/>
  <c r="AN208" i="13"/>
  <c r="BX117" i="13"/>
  <c r="AC207" i="13"/>
  <c r="AE267" i="13"/>
  <c r="AP207" i="13"/>
  <c r="AR268" i="13"/>
  <c r="AG207" i="13"/>
  <c r="AQ269" i="13"/>
  <c r="AQ207" i="13"/>
  <c r="AE207" i="13"/>
  <c r="AM268" i="13"/>
  <c r="AC268" i="13"/>
  <c r="BW117" i="13"/>
  <c r="AD268" i="13"/>
  <c r="AL207" i="13"/>
  <c r="AO267" i="13"/>
  <c r="AP267" i="13"/>
  <c r="AN117" i="13"/>
  <c r="AQ117" i="13"/>
  <c r="AD207" i="13"/>
  <c r="AL117" i="13"/>
  <c r="AP117" i="13"/>
  <c r="M63" i="13"/>
  <c r="BD63" i="13" s="1"/>
  <c r="F206" i="13"/>
  <c r="Q206" i="13"/>
  <c r="X63" i="13"/>
  <c r="BO63" i="13" s="1"/>
  <c r="A118" i="13"/>
  <c r="AS118" i="13" s="1"/>
  <c r="H206" i="13"/>
  <c r="O63" i="13"/>
  <c r="BF63" i="13" s="1"/>
  <c r="K63" i="13"/>
  <c r="BB63" i="13" s="1"/>
  <c r="D206" i="13"/>
  <c r="W206" i="13"/>
  <c r="AD63" i="13"/>
  <c r="BU63" i="13" s="1"/>
  <c r="X119" i="13"/>
  <c r="N63" i="13"/>
  <c r="BE63" i="13" s="1"/>
  <c r="G206" i="13"/>
  <c r="U63" i="13"/>
  <c r="BL63" i="13" s="1"/>
  <c r="N206" i="13"/>
  <c r="Q63" i="13"/>
  <c r="BH63" i="13" s="1"/>
  <c r="J206" i="13"/>
  <c r="X206" i="13"/>
  <c r="AE63" i="13"/>
  <c r="BV63" i="13" s="1"/>
  <c r="U206" i="13"/>
  <c r="AB63" i="13"/>
  <c r="BS63" i="13" s="1"/>
  <c r="V206" i="13"/>
  <c r="AC63" i="13"/>
  <c r="BT63" i="13" s="1"/>
  <c r="AY63" i="13"/>
  <c r="CP63" i="13" s="1"/>
  <c r="Y206" i="13"/>
  <c r="T63" i="13"/>
  <c r="BK63" i="13" s="1"/>
  <c r="M206" i="13"/>
  <c r="V63" i="13"/>
  <c r="BM63" i="13" s="1"/>
  <c r="O206" i="13"/>
  <c r="B206" i="13"/>
  <c r="I63" i="13"/>
  <c r="AZ63" i="13" s="1"/>
  <c r="AA63" i="13"/>
  <c r="BR63" i="13" s="1"/>
  <c r="T206" i="13"/>
  <c r="I206" i="13"/>
  <c r="P63" i="13"/>
  <c r="BG63" i="13" s="1"/>
  <c r="J63" i="13"/>
  <c r="BA63" i="13" s="1"/>
  <c r="C206" i="13"/>
  <c r="AU116" i="13"/>
  <c r="AW116" i="13"/>
  <c r="BA116" i="13"/>
  <c r="BE116" i="13"/>
  <c r="BI116" i="13"/>
  <c r="BM116" i="13"/>
  <c r="BQ116" i="13"/>
  <c r="AV116" i="13"/>
  <c r="BB116" i="13"/>
  <c r="BG116" i="13"/>
  <c r="BL116" i="13"/>
  <c r="BC116" i="13"/>
  <c r="BJ116" i="13"/>
  <c r="AX116" i="13"/>
  <c r="BD116" i="13"/>
  <c r="BK116" i="13"/>
  <c r="BF116" i="13"/>
  <c r="BH116" i="13"/>
  <c r="BN116" i="13"/>
  <c r="BO116" i="13"/>
  <c r="AY116" i="13"/>
  <c r="AT116" i="13"/>
  <c r="AZ116" i="13"/>
  <c r="L63" i="13"/>
  <c r="BC63" i="13" s="1"/>
  <c r="E206" i="13"/>
  <c r="W63" i="13"/>
  <c r="BN63" i="13" s="1"/>
  <c r="P206" i="13"/>
  <c r="Z63" i="13"/>
  <c r="BQ63" i="13" s="1"/>
  <c r="S206" i="13"/>
  <c r="R63" i="13"/>
  <c r="BI63" i="13" s="1"/>
  <c r="K206" i="13"/>
  <c r="R206" i="13"/>
  <c r="Y63" i="13"/>
  <c r="BP63" i="13" s="1"/>
  <c r="S63" i="13"/>
  <c r="BJ63" i="13" s="1"/>
  <c r="L206" i="13"/>
  <c r="G33" i="2"/>
  <c r="K33" i="2" s="1"/>
  <c r="Z108" i="13" l="1"/>
  <c r="BR109" i="13" s="1"/>
  <c r="BR118" i="13"/>
  <c r="BS118" i="13"/>
  <c r="BT118" i="13"/>
  <c r="AA108" i="13"/>
  <c r="BS109" i="13" s="1"/>
  <c r="AA217" i="13"/>
  <c r="BR110" i="13"/>
  <c r="Z217" i="13"/>
  <c r="AB217" i="13"/>
  <c r="AB108" i="13"/>
  <c r="BT109" i="13" s="1"/>
  <c r="CC118" i="13"/>
  <c r="BZ118" i="13"/>
  <c r="CA118" i="13"/>
  <c r="CB118" i="13"/>
  <c r="AH271" i="13"/>
  <c r="AI270" i="13"/>
  <c r="AJ270" i="13"/>
  <c r="AH210" i="13"/>
  <c r="AI210" i="13"/>
  <c r="AJ210" i="13"/>
  <c r="AK210" i="13"/>
  <c r="CJ118" i="13"/>
  <c r="CE118" i="13"/>
  <c r="BW118" i="13"/>
  <c r="BX118" i="13"/>
  <c r="CG118" i="13"/>
  <c r="CH118" i="13"/>
  <c r="BY118" i="13"/>
  <c r="CI118" i="13"/>
  <c r="BV118" i="13"/>
  <c r="CD118" i="13"/>
  <c r="CF118" i="13"/>
  <c r="AL116" i="13"/>
  <c r="CD117" i="13" s="1"/>
  <c r="BV117" i="13"/>
  <c r="AQ270" i="13"/>
  <c r="AL268" i="13"/>
  <c r="AQ116" i="13"/>
  <c r="CI117" i="13" s="1"/>
  <c r="AN116" i="13"/>
  <c r="CF117" i="13" s="1"/>
  <c r="AL208" i="13"/>
  <c r="BW116" i="13"/>
  <c r="AE208" i="13"/>
  <c r="AR269" i="13"/>
  <c r="AE268" i="13"/>
  <c r="BX116" i="13"/>
  <c r="AG269" i="13"/>
  <c r="AR116" i="13"/>
  <c r="CJ117" i="13" s="1"/>
  <c r="AN268" i="13"/>
  <c r="AO208" i="13"/>
  <c r="AM116" i="13"/>
  <c r="CE117" i="13" s="1"/>
  <c r="EK63" i="13"/>
  <c r="AP116" i="13"/>
  <c r="CH117" i="13" s="1"/>
  <c r="AD208" i="13"/>
  <c r="BY117" i="13"/>
  <c r="AP268" i="13"/>
  <c r="AO268" i="13"/>
  <c r="AD269" i="13"/>
  <c r="AC269" i="13"/>
  <c r="AM269" i="13"/>
  <c r="AQ208" i="13"/>
  <c r="AG208" i="13"/>
  <c r="AP208" i="13"/>
  <c r="AC208" i="13"/>
  <c r="AN209" i="13"/>
  <c r="AF268" i="13"/>
  <c r="AO116" i="13"/>
  <c r="CG117" i="13" s="1"/>
  <c r="AF208" i="13"/>
  <c r="AR208" i="13"/>
  <c r="AM208" i="13"/>
  <c r="DC63" i="13"/>
  <c r="B207" i="13"/>
  <c r="Y207" i="13"/>
  <c r="V207" i="13"/>
  <c r="J207" i="13"/>
  <c r="AX117" i="13"/>
  <c r="BB117" i="13"/>
  <c r="BF117" i="13"/>
  <c r="BJ117" i="13"/>
  <c r="BN117" i="13"/>
  <c r="AU117" i="13"/>
  <c r="AZ117" i="13"/>
  <c r="BE117" i="13"/>
  <c r="BK117" i="13"/>
  <c r="BA117" i="13"/>
  <c r="BH117" i="13"/>
  <c r="BO117" i="13"/>
  <c r="AV117" i="13"/>
  <c r="BC117" i="13"/>
  <c r="BI117" i="13"/>
  <c r="BQ117" i="13"/>
  <c r="AW117" i="13"/>
  <c r="BL117" i="13"/>
  <c r="AY117" i="13"/>
  <c r="BM117" i="13"/>
  <c r="BD117" i="13"/>
  <c r="BG117" i="13"/>
  <c r="AT117" i="13"/>
  <c r="L207" i="13"/>
  <c r="P207" i="13"/>
  <c r="DL63" i="13"/>
  <c r="M207" i="13"/>
  <c r="DP63" i="13"/>
  <c r="DB63" i="13"/>
  <c r="CZ63" i="13"/>
  <c r="A119" i="13"/>
  <c r="AS119" i="13" s="1"/>
  <c r="F207" i="13"/>
  <c r="DD63" i="13"/>
  <c r="S207" i="13"/>
  <c r="DH63" i="13"/>
  <c r="C207" i="13"/>
  <c r="I207" i="13"/>
  <c r="O207" i="13"/>
  <c r="DE63" i="13"/>
  <c r="DM63" i="13"/>
  <c r="X207" i="13"/>
  <c r="G207" i="13"/>
  <c r="X118" i="13"/>
  <c r="D207" i="13"/>
  <c r="H207" i="13"/>
  <c r="DI63" i="13"/>
  <c r="CX63" i="13"/>
  <c r="DJ63" i="13"/>
  <c r="E207" i="13"/>
  <c r="T207" i="13"/>
  <c r="DF63" i="13"/>
  <c r="W207" i="13"/>
  <c r="R207" i="13"/>
  <c r="CW63" i="13"/>
  <c r="DA63" i="13"/>
  <c r="EJ63" i="13"/>
  <c r="K207" i="13"/>
  <c r="DK63" i="13"/>
  <c r="CU63" i="13"/>
  <c r="CT63" i="13"/>
  <c r="DG63" i="13"/>
  <c r="DN63" i="13"/>
  <c r="U207" i="13"/>
  <c r="N207" i="13"/>
  <c r="CY63" i="13"/>
  <c r="DO63" i="13"/>
  <c r="CV63" i="13"/>
  <c r="Q207" i="13"/>
  <c r="G34" i="2"/>
  <c r="K34" i="2" s="1"/>
  <c r="K35" i="2" s="1"/>
  <c r="AA218" i="13" l="1"/>
  <c r="AB107" i="13"/>
  <c r="BT108" i="13" s="1"/>
  <c r="BR119" i="13"/>
  <c r="BT119" i="13"/>
  <c r="BS119" i="13"/>
  <c r="AA107" i="13"/>
  <c r="Z218" i="13"/>
  <c r="AB218" i="13"/>
  <c r="Z107" i="13"/>
  <c r="BR108" i="13" s="1"/>
  <c r="CA119" i="13"/>
  <c r="CC119" i="13"/>
  <c r="BZ119" i="13"/>
  <c r="CB119" i="13"/>
  <c r="AJ211" i="13"/>
  <c r="AH211" i="13"/>
  <c r="AI271" i="13"/>
  <c r="AK211" i="13"/>
  <c r="AI211" i="13"/>
  <c r="AJ271" i="13"/>
  <c r="AH272" i="13"/>
  <c r="BX119" i="13"/>
  <c r="BW119" i="13"/>
  <c r="BY119" i="13"/>
  <c r="BV119" i="13"/>
  <c r="CE119" i="13"/>
  <c r="CD119" i="13"/>
  <c r="CH119" i="13"/>
  <c r="CJ119" i="13"/>
  <c r="CG119" i="13"/>
  <c r="CF119" i="13"/>
  <c r="CI119" i="13"/>
  <c r="AM209" i="13"/>
  <c r="AF269" i="13"/>
  <c r="AG209" i="13"/>
  <c r="AD270" i="13"/>
  <c r="AD209" i="13"/>
  <c r="AO209" i="13"/>
  <c r="AR115" i="13"/>
  <c r="BX115" i="13"/>
  <c r="AR270" i="13"/>
  <c r="BW115" i="13"/>
  <c r="AN115" i="13"/>
  <c r="AL269" i="13"/>
  <c r="AL115" i="13"/>
  <c r="AR209" i="13"/>
  <c r="AO115" i="13"/>
  <c r="AN210" i="13"/>
  <c r="AP209" i="13"/>
  <c r="AQ209" i="13"/>
  <c r="AC270" i="13"/>
  <c r="AO269" i="13"/>
  <c r="BY116" i="13"/>
  <c r="AP115" i="13"/>
  <c r="AF209" i="13"/>
  <c r="AC209" i="13"/>
  <c r="AM270" i="13"/>
  <c r="AP269" i="13"/>
  <c r="AM115" i="13"/>
  <c r="AN269" i="13"/>
  <c r="AG270" i="13"/>
  <c r="AE269" i="13"/>
  <c r="AE209" i="13"/>
  <c r="AL209" i="13"/>
  <c r="AQ115" i="13"/>
  <c r="AQ271" i="13"/>
  <c r="BV116" i="13"/>
  <c r="R208" i="13"/>
  <c r="E208" i="13"/>
  <c r="H208" i="13"/>
  <c r="I208" i="13"/>
  <c r="M208" i="13"/>
  <c r="P208" i="13"/>
  <c r="V208" i="13"/>
  <c r="B208" i="13"/>
  <c r="Q208" i="13"/>
  <c r="N208" i="13"/>
  <c r="W208" i="13"/>
  <c r="T208" i="13"/>
  <c r="D208" i="13"/>
  <c r="G208" i="13"/>
  <c r="O208" i="13"/>
  <c r="C208" i="13"/>
  <c r="S208" i="13"/>
  <c r="F208" i="13"/>
  <c r="L208" i="13"/>
  <c r="U208" i="13"/>
  <c r="K208" i="13"/>
  <c r="X117" i="13"/>
  <c r="BP118" i="13" s="1"/>
  <c r="X208" i="13"/>
  <c r="A120" i="13"/>
  <c r="AS120" i="13" s="1"/>
  <c r="AU118" i="13"/>
  <c r="AY118" i="13"/>
  <c r="BC118" i="13"/>
  <c r="BG118" i="13"/>
  <c r="BK118" i="13"/>
  <c r="BO118" i="13"/>
  <c r="AX118" i="13"/>
  <c r="BD118" i="13"/>
  <c r="BI118" i="13"/>
  <c r="BN118" i="13"/>
  <c r="AZ118" i="13"/>
  <c r="BF118" i="13"/>
  <c r="BM118" i="13"/>
  <c r="BA118" i="13"/>
  <c r="BH118" i="13"/>
  <c r="BB118" i="13"/>
  <c r="BQ118" i="13"/>
  <c r="BE118" i="13"/>
  <c r="AV118" i="13"/>
  <c r="AW118" i="13"/>
  <c r="BJ118" i="13"/>
  <c r="AT118" i="13"/>
  <c r="BL118" i="13"/>
  <c r="J208" i="13"/>
  <c r="Y208" i="13"/>
  <c r="B48" i="2"/>
  <c r="AB219" i="13" l="1"/>
  <c r="AA106" i="13"/>
  <c r="BS107" i="13" s="1"/>
  <c r="AB106" i="13"/>
  <c r="BT107" i="13" s="1"/>
  <c r="Z106" i="13"/>
  <c r="BR107" i="13" s="1"/>
  <c r="Z219" i="13"/>
  <c r="BR120" i="13"/>
  <c r="BT120" i="13"/>
  <c r="BS120" i="13"/>
  <c r="BS108" i="13"/>
  <c r="AA219" i="13"/>
  <c r="CI116" i="13"/>
  <c r="AT54" i="13"/>
  <c r="CD116" i="13"/>
  <c r="AO54" i="13"/>
  <c r="CH116" i="13"/>
  <c r="AS54" i="13"/>
  <c r="CE116" i="13"/>
  <c r="AP54" i="13"/>
  <c r="CG116" i="13"/>
  <c r="AR54" i="13"/>
  <c r="CF116" i="13"/>
  <c r="AQ54" i="13"/>
  <c r="CJ116" i="13"/>
  <c r="AX54" i="13"/>
  <c r="CB120" i="13"/>
  <c r="CA120" i="13"/>
  <c r="BZ120" i="13"/>
  <c r="CC120" i="13"/>
  <c r="AJ272" i="13"/>
  <c r="AK212" i="13"/>
  <c r="AH212" i="13"/>
  <c r="AH273" i="13"/>
  <c r="AI212" i="13"/>
  <c r="AI272" i="13"/>
  <c r="AJ212" i="13"/>
  <c r="BX120" i="13"/>
  <c r="BW120" i="13"/>
  <c r="BY120" i="13"/>
  <c r="BV120" i="13"/>
  <c r="CE120" i="13"/>
  <c r="CG120" i="13"/>
  <c r="CF120" i="13"/>
  <c r="CI120" i="13"/>
  <c r="CJ120" i="13"/>
  <c r="CH120" i="13"/>
  <c r="CD120" i="13"/>
  <c r="AL210" i="13"/>
  <c r="AN270" i="13"/>
  <c r="AC210" i="13"/>
  <c r="AN211" i="13"/>
  <c r="AR114" i="13"/>
  <c r="CJ115" i="13" s="1"/>
  <c r="AQ272" i="13"/>
  <c r="AE270" i="13"/>
  <c r="AP270" i="13"/>
  <c r="AP114" i="13"/>
  <c r="CH115" i="13" s="1"/>
  <c r="AO270" i="13"/>
  <c r="AQ210" i="13"/>
  <c r="AR210" i="13"/>
  <c r="AN114" i="13"/>
  <c r="CF115" i="13" s="1"/>
  <c r="AR271" i="13"/>
  <c r="AD210" i="13"/>
  <c r="AG210" i="13"/>
  <c r="AM210" i="13"/>
  <c r="BV115" i="13"/>
  <c r="AQ114" i="13"/>
  <c r="CI115" i="13" s="1"/>
  <c r="AE210" i="13"/>
  <c r="AG271" i="13"/>
  <c r="AM114" i="13"/>
  <c r="CE115" i="13" s="1"/>
  <c r="AM271" i="13"/>
  <c r="AF210" i="13"/>
  <c r="BY115" i="13"/>
  <c r="AC271" i="13"/>
  <c r="AP210" i="13"/>
  <c r="AO114" i="13"/>
  <c r="CG115" i="13" s="1"/>
  <c r="AL114" i="13"/>
  <c r="CD115" i="13" s="1"/>
  <c r="AL270" i="13"/>
  <c r="BW114" i="13"/>
  <c r="BX114" i="13"/>
  <c r="AO210" i="13"/>
  <c r="AD271" i="13"/>
  <c r="AF270" i="13"/>
  <c r="J209" i="13"/>
  <c r="AV119" i="13"/>
  <c r="AZ119" i="13"/>
  <c r="BD119" i="13"/>
  <c r="BH119" i="13"/>
  <c r="BL119" i="13"/>
  <c r="AW119" i="13"/>
  <c r="BB119" i="13"/>
  <c r="BG119" i="13"/>
  <c r="BM119" i="13"/>
  <c r="AX119" i="13"/>
  <c r="BE119" i="13"/>
  <c r="BK119" i="13"/>
  <c r="AT119" i="13"/>
  <c r="AY119" i="13"/>
  <c r="BF119" i="13"/>
  <c r="BN119" i="13"/>
  <c r="BI119" i="13"/>
  <c r="AU119" i="13"/>
  <c r="BJ119" i="13"/>
  <c r="BA119" i="13"/>
  <c r="BC119" i="13"/>
  <c r="BO119" i="13"/>
  <c r="BQ119" i="13"/>
  <c r="BP119" i="13"/>
  <c r="A121" i="13"/>
  <c r="AS121" i="13" s="1"/>
  <c r="U209" i="13"/>
  <c r="F209" i="13"/>
  <c r="G209" i="13"/>
  <c r="N209" i="13"/>
  <c r="B209" i="13"/>
  <c r="P209" i="13"/>
  <c r="I209" i="13"/>
  <c r="E209" i="13"/>
  <c r="Y209" i="13"/>
  <c r="X116" i="13"/>
  <c r="BP117" i="13" s="1"/>
  <c r="C209" i="13"/>
  <c r="T209" i="13"/>
  <c r="X209" i="13"/>
  <c r="K209" i="13"/>
  <c r="L209" i="13"/>
  <c r="S209" i="13"/>
  <c r="O209" i="13"/>
  <c r="D209" i="13"/>
  <c r="W209" i="13"/>
  <c r="Q209" i="13"/>
  <c r="V209" i="13"/>
  <c r="M209" i="13"/>
  <c r="H209" i="13"/>
  <c r="R209" i="13"/>
  <c r="J38" i="2"/>
  <c r="K38" i="2"/>
  <c r="R38" i="2" s="1"/>
  <c r="AA220" i="13" l="1"/>
  <c r="AA105" i="13"/>
  <c r="BS106" i="13" s="1"/>
  <c r="Z105" i="13"/>
  <c r="BR106" i="13" s="1"/>
  <c r="BR121" i="13"/>
  <c r="BT121" i="13"/>
  <c r="BS121" i="13"/>
  <c r="Z220" i="13"/>
  <c r="AB105" i="13"/>
  <c r="AB220" i="13"/>
  <c r="BZ121" i="13"/>
  <c r="CA121" i="13"/>
  <c r="CB121" i="13"/>
  <c r="CC121" i="13"/>
  <c r="AI273" i="13"/>
  <c r="AH274" i="13"/>
  <c r="AK213" i="13"/>
  <c r="AJ213" i="13"/>
  <c r="AI213" i="13"/>
  <c r="AH213" i="13"/>
  <c r="AJ273" i="13"/>
  <c r="BW121" i="13"/>
  <c r="BX121" i="13"/>
  <c r="BV121" i="13"/>
  <c r="BY121" i="13"/>
  <c r="CJ121" i="13"/>
  <c r="CH121" i="13"/>
  <c r="CG121" i="13"/>
  <c r="CE121" i="13"/>
  <c r="CF121" i="13"/>
  <c r="CD121" i="13"/>
  <c r="CI121" i="13"/>
  <c r="BX113" i="13"/>
  <c r="AO113" i="13"/>
  <c r="CG114" i="13" s="1"/>
  <c r="AF211" i="13"/>
  <c r="AE211" i="13"/>
  <c r="AG211" i="13"/>
  <c r="AQ211" i="13"/>
  <c r="AP113" i="13"/>
  <c r="CH114" i="13" s="1"/>
  <c r="AE271" i="13"/>
  <c r="AR113" i="13"/>
  <c r="CJ114" i="13" s="1"/>
  <c r="AL211" i="13"/>
  <c r="AD272" i="13"/>
  <c r="AL271" i="13"/>
  <c r="AC272" i="13"/>
  <c r="AM113" i="13"/>
  <c r="CE114" i="13" s="1"/>
  <c r="BV114" i="13"/>
  <c r="AR272" i="13"/>
  <c r="AC211" i="13"/>
  <c r="AF271" i="13"/>
  <c r="AO211" i="13"/>
  <c r="BW113" i="13"/>
  <c r="AL113" i="13"/>
  <c r="CD114" i="13" s="1"/>
  <c r="AP211" i="13"/>
  <c r="BY114" i="13"/>
  <c r="AM272" i="13"/>
  <c r="AG272" i="13"/>
  <c r="AQ113" i="13"/>
  <c r="CI114" i="13" s="1"/>
  <c r="AM211" i="13"/>
  <c r="AD211" i="13"/>
  <c r="AN113" i="13"/>
  <c r="CF114" i="13" s="1"/>
  <c r="AR211" i="13"/>
  <c r="AO271" i="13"/>
  <c r="AP271" i="13"/>
  <c r="AQ273" i="13"/>
  <c r="AN212" i="13"/>
  <c r="AN271" i="13"/>
  <c r="AW120" i="13"/>
  <c r="BA120" i="13"/>
  <c r="BE120" i="13"/>
  <c r="BI120" i="13"/>
  <c r="BM120" i="13"/>
  <c r="BQ120" i="13"/>
  <c r="AU120" i="13"/>
  <c r="AZ120" i="13"/>
  <c r="BF120" i="13"/>
  <c r="BK120" i="13"/>
  <c r="AV120" i="13"/>
  <c r="BC120" i="13"/>
  <c r="BJ120" i="13"/>
  <c r="AX120" i="13"/>
  <c r="BD120" i="13"/>
  <c r="BL120" i="13"/>
  <c r="AY120" i="13"/>
  <c r="BN120" i="13"/>
  <c r="BB120" i="13"/>
  <c r="BO120" i="13"/>
  <c r="BG120" i="13"/>
  <c r="BH120" i="13"/>
  <c r="AT120" i="13"/>
  <c r="BP120" i="13"/>
  <c r="M210" i="13"/>
  <c r="D210" i="13"/>
  <c r="K210" i="13"/>
  <c r="X115" i="13"/>
  <c r="BP116" i="13" s="1"/>
  <c r="P210" i="13"/>
  <c r="R210" i="13"/>
  <c r="Q210" i="13"/>
  <c r="S210" i="13"/>
  <c r="T210" i="13"/>
  <c r="E210" i="13"/>
  <c r="N210" i="13"/>
  <c r="F210" i="13"/>
  <c r="A122" i="13"/>
  <c r="AS122" i="13" s="1"/>
  <c r="H210" i="13"/>
  <c r="V210" i="13"/>
  <c r="W210" i="13"/>
  <c r="O210" i="13"/>
  <c r="L210" i="13"/>
  <c r="X210" i="13"/>
  <c r="C210" i="13"/>
  <c r="Y210" i="13"/>
  <c r="I210" i="13"/>
  <c r="B210" i="13"/>
  <c r="G210" i="13"/>
  <c r="U210" i="13"/>
  <c r="J210" i="13"/>
  <c r="AF38" i="2"/>
  <c r="M38" i="2"/>
  <c r="S38" i="2"/>
  <c r="N38" i="2"/>
  <c r="AB38" i="2"/>
  <c r="E6" i="7"/>
  <c r="G6" i="7" s="1"/>
  <c r="G12" i="7" s="1"/>
  <c r="AB221" i="13" l="1"/>
  <c r="Z221" i="13"/>
  <c r="AB104" i="13"/>
  <c r="BT104" i="13" s="1"/>
  <c r="AW53" i="13"/>
  <c r="AA104" i="13"/>
  <c r="BS104" i="13" s="1"/>
  <c r="AV53" i="13"/>
  <c r="BR122" i="13"/>
  <c r="BT122" i="13"/>
  <c r="BS122" i="13"/>
  <c r="BT106" i="13"/>
  <c r="Z104" i="13"/>
  <c r="BR104" i="13" s="1"/>
  <c r="AU53" i="13"/>
  <c r="AA221" i="13"/>
  <c r="CB122" i="13"/>
  <c r="CC122" i="13"/>
  <c r="BZ122" i="13"/>
  <c r="CA122" i="13"/>
  <c r="AH214" i="13"/>
  <c r="AJ214" i="13"/>
  <c r="AH275" i="13"/>
  <c r="AK70" i="13" s="1"/>
  <c r="AJ274" i="13"/>
  <c r="AI214" i="13"/>
  <c r="AK214" i="13"/>
  <c r="AI274" i="13"/>
  <c r="BX122" i="13"/>
  <c r="BW122" i="13"/>
  <c r="BY122" i="13"/>
  <c r="BV122" i="13"/>
  <c r="CE122" i="13"/>
  <c r="CI122" i="13"/>
  <c r="CH122" i="13"/>
  <c r="CG122" i="13"/>
  <c r="CF122" i="13"/>
  <c r="CJ122" i="13"/>
  <c r="CD122" i="13"/>
  <c r="AN213" i="13"/>
  <c r="AP272" i="13"/>
  <c r="AR212" i="13"/>
  <c r="AD212" i="13"/>
  <c r="AQ112" i="13"/>
  <c r="CI113" i="13" s="1"/>
  <c r="AM273" i="13"/>
  <c r="AP212" i="13"/>
  <c r="BW112" i="13"/>
  <c r="AF272" i="13"/>
  <c r="AR273" i="13"/>
  <c r="AM112" i="13"/>
  <c r="CE113" i="13" s="1"/>
  <c r="AL272" i="13"/>
  <c r="AL212" i="13"/>
  <c r="AE272" i="13"/>
  <c r="AQ212" i="13"/>
  <c r="AG212" i="13"/>
  <c r="AF212" i="13"/>
  <c r="BX112" i="13"/>
  <c r="AN272" i="13"/>
  <c r="AQ274" i="13"/>
  <c r="AO272" i="13"/>
  <c r="AN112" i="13"/>
  <c r="CF113" i="13" s="1"/>
  <c r="AM212" i="13"/>
  <c r="AG273" i="13"/>
  <c r="BY113" i="13"/>
  <c r="AL112" i="13"/>
  <c r="CD113" i="13" s="1"/>
  <c r="AO212" i="13"/>
  <c r="AC212" i="13"/>
  <c r="BV113" i="13"/>
  <c r="AC273" i="13"/>
  <c r="AD273" i="13"/>
  <c r="AR112" i="13"/>
  <c r="CJ113" i="13" s="1"/>
  <c r="AP112" i="13"/>
  <c r="CH113" i="13" s="1"/>
  <c r="AE212" i="13"/>
  <c r="AO112" i="13"/>
  <c r="CG113" i="13" s="1"/>
  <c r="J211" i="13"/>
  <c r="G211" i="13"/>
  <c r="C211" i="13"/>
  <c r="W211" i="13"/>
  <c r="F211" i="13"/>
  <c r="R211" i="13"/>
  <c r="AX121" i="13"/>
  <c r="BB121" i="13"/>
  <c r="BF121" i="13"/>
  <c r="BJ121" i="13"/>
  <c r="BN121" i="13"/>
  <c r="AY121" i="13"/>
  <c r="BD121" i="13"/>
  <c r="BI121" i="13"/>
  <c r="BO121" i="13"/>
  <c r="AU121" i="13"/>
  <c r="BA121" i="13"/>
  <c r="BH121" i="13"/>
  <c r="AV121" i="13"/>
  <c r="BC121" i="13"/>
  <c r="BK121" i="13"/>
  <c r="BQ121" i="13"/>
  <c r="BE121" i="13"/>
  <c r="BG121" i="13"/>
  <c r="BL121" i="13"/>
  <c r="BM121" i="13"/>
  <c r="AW121" i="13"/>
  <c r="AT121" i="13"/>
  <c r="AZ121" i="13"/>
  <c r="BP121" i="13"/>
  <c r="I211" i="13"/>
  <c r="L211" i="13"/>
  <c r="H211" i="13"/>
  <c r="E211" i="13"/>
  <c r="S211" i="13"/>
  <c r="X114" i="13"/>
  <c r="BP115" i="13" s="1"/>
  <c r="AE54" i="13"/>
  <c r="D211" i="13"/>
  <c r="U211" i="13"/>
  <c r="B211" i="13"/>
  <c r="Y211" i="13"/>
  <c r="X211" i="13"/>
  <c r="O211" i="13"/>
  <c r="V211" i="13"/>
  <c r="A123" i="13"/>
  <c r="AS123" i="13" s="1"/>
  <c r="N211" i="13"/>
  <c r="T211" i="13"/>
  <c r="Q211" i="13"/>
  <c r="P211" i="13"/>
  <c r="K211" i="13"/>
  <c r="M211" i="13"/>
  <c r="AB43" i="2"/>
  <c r="AB39" i="2"/>
  <c r="AF39" i="2"/>
  <c r="AF40" i="2"/>
  <c r="AD38" i="2"/>
  <c r="AB41" i="2"/>
  <c r="AB40" i="2"/>
  <c r="AB42" i="2"/>
  <c r="Z38" i="2"/>
  <c r="Z43" i="2" s="1"/>
  <c r="AF43" i="2"/>
  <c r="AF42" i="2"/>
  <c r="AF41" i="2"/>
  <c r="AG38" i="2"/>
  <c r="AG39" i="2" s="1"/>
  <c r="T38" i="2"/>
  <c r="AC38" i="2"/>
  <c r="BT105" i="13" l="1"/>
  <c r="BR105" i="13"/>
  <c r="BS105" i="13"/>
  <c r="BS123" i="13"/>
  <c r="BT123" i="13"/>
  <c r="BR123" i="13"/>
  <c r="AA222" i="13"/>
  <c r="Z222" i="13"/>
  <c r="AB222" i="13"/>
  <c r="BZ123" i="13"/>
  <c r="CA123" i="13"/>
  <c r="CC123" i="13"/>
  <c r="CB123" i="13"/>
  <c r="AK215" i="13"/>
  <c r="AN64" i="13" s="1"/>
  <c r="CE64" i="13" s="1"/>
  <c r="DY64" i="13" s="1"/>
  <c r="AJ275" i="13"/>
  <c r="AM70" i="13" s="1"/>
  <c r="AJ215" i="13"/>
  <c r="AM64" i="13" s="1"/>
  <c r="CD64" i="13" s="1"/>
  <c r="AI275" i="13"/>
  <c r="AL70" i="13" s="1"/>
  <c r="AI215" i="13"/>
  <c r="AL64" i="13" s="1"/>
  <c r="CC64" i="13" s="1"/>
  <c r="AH276" i="13"/>
  <c r="AH215" i="13"/>
  <c r="AK64" i="13" s="1"/>
  <c r="CB64" i="13" s="1"/>
  <c r="DV64" i="13" s="1"/>
  <c r="BX123" i="13"/>
  <c r="BW123" i="13"/>
  <c r="BY123" i="13"/>
  <c r="BV123" i="13"/>
  <c r="CI123" i="13"/>
  <c r="CF123" i="13"/>
  <c r="CE123" i="13"/>
  <c r="CD123" i="13"/>
  <c r="CG123" i="13"/>
  <c r="CJ123" i="13"/>
  <c r="CH123" i="13"/>
  <c r="AE213" i="13"/>
  <c r="AD274" i="13"/>
  <c r="AO213" i="13"/>
  <c r="AM213" i="13"/>
  <c r="AO273" i="13"/>
  <c r="AN273" i="13"/>
  <c r="AF213" i="13"/>
  <c r="AL213" i="13"/>
  <c r="AM111" i="13"/>
  <c r="CE112" i="13" s="1"/>
  <c r="AF273" i="13"/>
  <c r="AP213" i="13"/>
  <c r="AQ111" i="13"/>
  <c r="CI112" i="13" s="1"/>
  <c r="AR213" i="13"/>
  <c r="AN214" i="13"/>
  <c r="AP111" i="13"/>
  <c r="CH112" i="13" s="1"/>
  <c r="BV112" i="13"/>
  <c r="BY112" i="13"/>
  <c r="AQ213" i="13"/>
  <c r="AO111" i="13"/>
  <c r="CG112" i="13" s="1"/>
  <c r="AR111" i="13"/>
  <c r="CJ112" i="13" s="1"/>
  <c r="AC274" i="13"/>
  <c r="AC213" i="13"/>
  <c r="AL111" i="13"/>
  <c r="CD112" i="13" s="1"/>
  <c r="AG274" i="13"/>
  <c r="AN111" i="13"/>
  <c r="CF112" i="13" s="1"/>
  <c r="AQ275" i="13"/>
  <c r="AT70" i="13" s="1"/>
  <c r="BX111" i="13"/>
  <c r="AG213" i="13"/>
  <c r="AE273" i="13"/>
  <c r="AL273" i="13"/>
  <c r="AR274" i="13"/>
  <c r="BW111" i="13"/>
  <c r="AM274" i="13"/>
  <c r="AD213" i="13"/>
  <c r="AP273" i="13"/>
  <c r="P212" i="13"/>
  <c r="A124" i="13"/>
  <c r="AS124" i="13" s="1"/>
  <c r="Y212" i="13"/>
  <c r="E212" i="13"/>
  <c r="L212" i="13"/>
  <c r="R212" i="13"/>
  <c r="W212" i="13"/>
  <c r="G212" i="13"/>
  <c r="K212" i="13"/>
  <c r="Q212" i="13"/>
  <c r="N212" i="13"/>
  <c r="V212" i="13"/>
  <c r="X212" i="13"/>
  <c r="B212" i="13"/>
  <c r="D212" i="13"/>
  <c r="M212" i="13"/>
  <c r="T212" i="13"/>
  <c r="O212" i="13"/>
  <c r="U212" i="13"/>
  <c r="X113" i="13"/>
  <c r="BP114" i="13" s="1"/>
  <c r="BD122" i="13"/>
  <c r="AZ122" i="13"/>
  <c r="AU122" i="13"/>
  <c r="AW122" i="13"/>
  <c r="BG122" i="13"/>
  <c r="BF122" i="13"/>
  <c r="AY122" i="13"/>
  <c r="BA122" i="13"/>
  <c r="BO122" i="13"/>
  <c r="BE122" i="13"/>
  <c r="BC122" i="13"/>
  <c r="BQ122" i="13"/>
  <c r="BN122" i="13"/>
  <c r="BP122" i="13"/>
  <c r="BK122" i="13"/>
  <c r="AT122" i="13"/>
  <c r="BH122" i="13"/>
  <c r="AX122" i="13"/>
  <c r="AV122" i="13"/>
  <c r="BJ122" i="13"/>
  <c r="BL122" i="13"/>
  <c r="BI122" i="13"/>
  <c r="BM122" i="13"/>
  <c r="BB122" i="13"/>
  <c r="S212" i="13"/>
  <c r="H212" i="13"/>
  <c r="I212" i="13"/>
  <c r="F212" i="13"/>
  <c r="C212" i="13"/>
  <c r="J212" i="13"/>
  <c r="AC41" i="2"/>
  <c r="AC39" i="2"/>
  <c r="Z16" i="2"/>
  <c r="P23" i="5" s="1"/>
  <c r="AD39" i="2"/>
  <c r="AD43" i="2"/>
  <c r="AE43" i="2" s="1"/>
  <c r="AE38" i="2"/>
  <c r="AG42" i="2"/>
  <c r="AG41" i="2"/>
  <c r="AG40" i="2"/>
  <c r="AG43" i="2"/>
  <c r="AD42" i="2"/>
  <c r="AE42" i="2" s="1"/>
  <c r="AD40" i="2"/>
  <c r="AE40" i="2" s="1"/>
  <c r="AD41" i="2"/>
  <c r="AE41" i="2" s="1"/>
  <c r="AA38" i="2"/>
  <c r="Z42" i="2"/>
  <c r="AA42" i="2" s="1"/>
  <c r="Z40" i="2"/>
  <c r="AA40" i="2" s="1"/>
  <c r="Z41" i="2"/>
  <c r="AA41" i="2" s="1"/>
  <c r="AA43" i="2"/>
  <c r="Z39" i="2"/>
  <c r="AC43" i="2"/>
  <c r="AC42" i="2"/>
  <c r="AC40" i="2"/>
  <c r="BT124" i="13" l="1"/>
  <c r="BR124" i="13"/>
  <c r="BS124" i="13"/>
  <c r="AB223" i="13"/>
  <c r="AA223" i="13"/>
  <c r="Z223" i="13"/>
  <c r="DX64" i="13"/>
  <c r="DW64" i="13"/>
  <c r="BZ124" i="13"/>
  <c r="CB124" i="13"/>
  <c r="CA124" i="13"/>
  <c r="CC124" i="13"/>
  <c r="AH277" i="13"/>
  <c r="AI276" i="13"/>
  <c r="AJ276" i="13"/>
  <c r="AH216" i="13"/>
  <c r="AI216" i="13"/>
  <c r="AJ216" i="13"/>
  <c r="AK216" i="13"/>
  <c r="BX124" i="13"/>
  <c r="BW124" i="13"/>
  <c r="BY124" i="13"/>
  <c r="BV124" i="13"/>
  <c r="CE124" i="13"/>
  <c r="CI124" i="13"/>
  <c r="CH124" i="13"/>
  <c r="CG124" i="13"/>
  <c r="CJ124" i="13"/>
  <c r="CD124" i="13"/>
  <c r="CF124" i="13"/>
  <c r="AD214" i="13"/>
  <c r="AL274" i="13"/>
  <c r="AQ276" i="13"/>
  <c r="AC214" i="13"/>
  <c r="AO110" i="13"/>
  <c r="CG111" i="13" s="1"/>
  <c r="BY111" i="13"/>
  <c r="AR214" i="13"/>
  <c r="AP214" i="13"/>
  <c r="AM110" i="13"/>
  <c r="CE111" i="13" s="1"/>
  <c r="AO274" i="13"/>
  <c r="AO214" i="13"/>
  <c r="AE214" i="13"/>
  <c r="BW110" i="13"/>
  <c r="AG214" i="13"/>
  <c r="AG275" i="13"/>
  <c r="AJ70" i="13" s="1"/>
  <c r="AR110" i="13"/>
  <c r="CJ111" i="13" s="1"/>
  <c r="AP110" i="13"/>
  <c r="CH111" i="13" s="1"/>
  <c r="AF214" i="13"/>
  <c r="AP274" i="13"/>
  <c r="AM275" i="13"/>
  <c r="AP70" i="13" s="1"/>
  <c r="AR275" i="13"/>
  <c r="AX70" i="13" s="1"/>
  <c r="AE274" i="13"/>
  <c r="BX110" i="13"/>
  <c r="AN110" i="13"/>
  <c r="CF111" i="13" s="1"/>
  <c r="AL110" i="13"/>
  <c r="CD111" i="13" s="1"/>
  <c r="AC275" i="13"/>
  <c r="AF70" i="13" s="1"/>
  <c r="AQ214" i="13"/>
  <c r="BV111" i="13"/>
  <c r="AN215" i="13"/>
  <c r="AQ64" i="13" s="1"/>
  <c r="CH64" i="13" s="1"/>
  <c r="AQ110" i="13"/>
  <c r="CI111" i="13" s="1"/>
  <c r="AF274" i="13"/>
  <c r="AL214" i="13"/>
  <c r="AN274" i="13"/>
  <c r="AM214" i="13"/>
  <c r="AD275" i="13"/>
  <c r="AG70" i="13" s="1"/>
  <c r="AU123" i="13"/>
  <c r="BL123" i="13"/>
  <c r="BN123" i="13"/>
  <c r="BC123" i="13"/>
  <c r="BO123" i="13"/>
  <c r="BJ123" i="13"/>
  <c r="AZ123" i="13"/>
  <c r="AY123" i="13"/>
  <c r="BA123" i="13"/>
  <c r="BD123" i="13"/>
  <c r="BQ123" i="13"/>
  <c r="BG123" i="13"/>
  <c r="AV123" i="13"/>
  <c r="BE123" i="13"/>
  <c r="AX123" i="13"/>
  <c r="BF123" i="13"/>
  <c r="BH123" i="13"/>
  <c r="BB123" i="13"/>
  <c r="AT123" i="13"/>
  <c r="BM123" i="13"/>
  <c r="BK123" i="13"/>
  <c r="BI123" i="13"/>
  <c r="BP123" i="13"/>
  <c r="AW123" i="13"/>
  <c r="J213" i="13"/>
  <c r="F213" i="13"/>
  <c r="H213" i="13"/>
  <c r="X112" i="13"/>
  <c r="BP113" i="13" s="1"/>
  <c r="O213" i="13"/>
  <c r="M213" i="13"/>
  <c r="B213" i="13"/>
  <c r="V213" i="13"/>
  <c r="Q213" i="13"/>
  <c r="G213" i="13"/>
  <c r="R213" i="13"/>
  <c r="E213" i="13"/>
  <c r="A125" i="13"/>
  <c r="AS125" i="13" s="1"/>
  <c r="C213" i="13"/>
  <c r="I213" i="13"/>
  <c r="S213" i="13"/>
  <c r="U213" i="13"/>
  <c r="T213" i="13"/>
  <c r="D213" i="13"/>
  <c r="X213" i="13"/>
  <c r="N213" i="13"/>
  <c r="K213" i="13"/>
  <c r="W213" i="13"/>
  <c r="L213" i="13"/>
  <c r="Y213" i="13"/>
  <c r="P213" i="13"/>
  <c r="Z13" i="2"/>
  <c r="Z12" i="2" s="1"/>
  <c r="P19" i="5" s="1"/>
  <c r="P31" i="5" s="1"/>
  <c r="AE39" i="2"/>
  <c r="Z18" i="2"/>
  <c r="P25" i="5" s="1"/>
  <c r="AA39" i="2"/>
  <c r="AA224" i="13" l="1"/>
  <c r="Z224" i="13"/>
  <c r="AB224" i="13"/>
  <c r="BS125" i="13"/>
  <c r="BT125" i="13"/>
  <c r="BR125" i="13"/>
  <c r="EB64" i="13"/>
  <c r="CA125" i="13"/>
  <c r="CC125" i="13"/>
  <c r="BZ125" i="13"/>
  <c r="CB125" i="13"/>
  <c r="AJ217" i="13"/>
  <c r="AH217" i="13"/>
  <c r="AI277" i="13"/>
  <c r="AK217" i="13"/>
  <c r="AI217" i="13"/>
  <c r="AJ277" i="13"/>
  <c r="AH278" i="13"/>
  <c r="BW125" i="13"/>
  <c r="BX125" i="13"/>
  <c r="BY125" i="13"/>
  <c r="BV125" i="13"/>
  <c r="CJ125" i="13"/>
  <c r="CG125" i="13"/>
  <c r="CI125" i="13"/>
  <c r="CD125" i="13"/>
  <c r="CE125" i="13"/>
  <c r="CF125" i="13"/>
  <c r="CH125" i="13"/>
  <c r="AL215" i="13"/>
  <c r="AO64" i="13" s="1"/>
  <c r="CF64" i="13" s="1"/>
  <c r="BV110" i="13"/>
  <c r="BX109" i="13"/>
  <c r="AR276" i="13"/>
  <c r="AP275" i="13"/>
  <c r="AS70" i="13" s="1"/>
  <c r="AP109" i="13"/>
  <c r="CH110" i="13" s="1"/>
  <c r="BW109" i="13"/>
  <c r="AO215" i="13"/>
  <c r="AR64" i="13" s="1"/>
  <c r="CI64" i="13" s="1"/>
  <c r="AM109" i="13"/>
  <c r="CE110" i="13" s="1"/>
  <c r="AR215" i="13"/>
  <c r="AX64" i="13" s="1"/>
  <c r="CO64" i="13" s="1"/>
  <c r="AO109" i="13"/>
  <c r="CG110" i="13" s="1"/>
  <c r="AQ277" i="13"/>
  <c r="AD215" i="13"/>
  <c r="AG64" i="13" s="1"/>
  <c r="BX64" i="13" s="1"/>
  <c r="AM215" i="13"/>
  <c r="AP64" i="13" s="1"/>
  <c r="CG64" i="13" s="1"/>
  <c r="AQ109" i="13"/>
  <c r="CI110" i="13" s="1"/>
  <c r="AL109" i="13"/>
  <c r="CD110" i="13" s="1"/>
  <c r="AG276" i="13"/>
  <c r="AD276" i="13"/>
  <c r="AN275" i="13"/>
  <c r="AQ70" i="13" s="1"/>
  <c r="AF275" i="13"/>
  <c r="AI70" i="13" s="1"/>
  <c r="AN216" i="13"/>
  <c r="AQ215" i="13"/>
  <c r="AT64" i="13" s="1"/>
  <c r="CK64" i="13" s="1"/>
  <c r="AC276" i="13"/>
  <c r="AN109" i="13"/>
  <c r="CF110" i="13" s="1"/>
  <c r="AE275" i="13"/>
  <c r="AH70" i="13" s="1"/>
  <c r="AM276" i="13"/>
  <c r="AF215" i="13"/>
  <c r="AI64" i="13" s="1"/>
  <c r="BZ64" i="13" s="1"/>
  <c r="DT64" i="13" s="1"/>
  <c r="AR109" i="13"/>
  <c r="CJ110" i="13" s="1"/>
  <c r="AG215" i="13"/>
  <c r="AJ64" i="13" s="1"/>
  <c r="CA64" i="13" s="1"/>
  <c r="AE215" i="13"/>
  <c r="AH64" i="13" s="1"/>
  <c r="BY64" i="13" s="1"/>
  <c r="DS64" i="13" s="1"/>
  <c r="AO275" i="13"/>
  <c r="AR70" i="13" s="1"/>
  <c r="AP215" i="13"/>
  <c r="AS64" i="13" s="1"/>
  <c r="CJ64" i="13" s="1"/>
  <c r="BY110" i="13"/>
  <c r="AC215" i="13"/>
  <c r="AF64" i="13" s="1"/>
  <c r="BW64" i="13" s="1"/>
  <c r="AL275" i="13"/>
  <c r="AO70" i="13" s="1"/>
  <c r="P214" i="13"/>
  <c r="L214" i="13"/>
  <c r="K214" i="13"/>
  <c r="X214" i="13"/>
  <c r="T214" i="13"/>
  <c r="S214" i="13"/>
  <c r="C214" i="13"/>
  <c r="E214" i="13"/>
  <c r="G214" i="13"/>
  <c r="V214" i="13"/>
  <c r="M214" i="13"/>
  <c r="X111" i="13"/>
  <c r="BP112" i="13" s="1"/>
  <c r="F214" i="13"/>
  <c r="AW124" i="13"/>
  <c r="BB124" i="13"/>
  <c r="BP124" i="13"/>
  <c r="BG124" i="13"/>
  <c r="BI124" i="13"/>
  <c r="BQ124" i="13"/>
  <c r="BN124" i="13"/>
  <c r="BD124" i="13"/>
  <c r="BK124" i="13"/>
  <c r="BM124" i="13"/>
  <c r="BA124" i="13"/>
  <c r="AT124" i="13"/>
  <c r="AY124" i="13"/>
  <c r="BH124" i="13"/>
  <c r="AZ124" i="13"/>
  <c r="BF124" i="13"/>
  <c r="BJ124" i="13"/>
  <c r="AX124" i="13"/>
  <c r="BO124" i="13"/>
  <c r="BC124" i="13"/>
  <c r="BE124" i="13"/>
  <c r="AV124" i="13"/>
  <c r="BL124" i="13"/>
  <c r="AU124" i="13"/>
  <c r="Y214" i="13"/>
  <c r="W214" i="13"/>
  <c r="N214" i="13"/>
  <c r="D214" i="13"/>
  <c r="U214" i="13"/>
  <c r="I214" i="13"/>
  <c r="A126" i="13"/>
  <c r="AS126" i="13" s="1"/>
  <c r="R214" i="13"/>
  <c r="Q214" i="13"/>
  <c r="B214" i="13"/>
  <c r="O214" i="13"/>
  <c r="H214" i="13"/>
  <c r="J214" i="13"/>
  <c r="Z17" i="2"/>
  <c r="P24" i="5" s="1"/>
  <c r="P20" i="5"/>
  <c r="P32" i="5" s="1"/>
  <c r="BR126" i="13" l="1"/>
  <c r="BT126" i="13"/>
  <c r="BS126" i="13"/>
  <c r="Z225" i="13"/>
  <c r="AB225" i="13"/>
  <c r="AA225" i="13"/>
  <c r="DQ64" i="13"/>
  <c r="EE64" i="13"/>
  <c r="EA64" i="13"/>
  <c r="EI64" i="13"/>
  <c r="ED64" i="13"/>
  <c r="EC64" i="13"/>
  <c r="DU64" i="13"/>
  <c r="DR64" i="13"/>
  <c r="DZ64" i="13"/>
  <c r="BZ126" i="13"/>
  <c r="CC126" i="13"/>
  <c r="CA126" i="13"/>
  <c r="CB126" i="13"/>
  <c r="AJ278" i="13"/>
  <c r="AK218" i="13"/>
  <c r="AH218" i="13"/>
  <c r="AH279" i="13"/>
  <c r="AI218" i="13"/>
  <c r="AI278" i="13"/>
  <c r="AJ218" i="13"/>
  <c r="BW126" i="13"/>
  <c r="BX126" i="13"/>
  <c r="BV126" i="13"/>
  <c r="BY126" i="13"/>
  <c r="CI126" i="13"/>
  <c r="CD126" i="13"/>
  <c r="CG126" i="13"/>
  <c r="CH126" i="13"/>
  <c r="CJ126" i="13"/>
  <c r="CF126" i="13"/>
  <c r="CE126" i="13"/>
  <c r="AC216" i="13"/>
  <c r="AP216" i="13"/>
  <c r="AE216" i="13"/>
  <c r="AR108" i="13"/>
  <c r="CJ109" i="13" s="1"/>
  <c r="AM277" i="13"/>
  <c r="AN108" i="13"/>
  <c r="CF109" i="13" s="1"/>
  <c r="AQ216" i="13"/>
  <c r="AF276" i="13"/>
  <c r="AD277" i="13"/>
  <c r="AL108" i="13"/>
  <c r="CD109" i="13" s="1"/>
  <c r="AM216" i="13"/>
  <c r="AQ278" i="13"/>
  <c r="AR216" i="13"/>
  <c r="AO216" i="13"/>
  <c r="AP108" i="13"/>
  <c r="CH109" i="13" s="1"/>
  <c r="AR277" i="13"/>
  <c r="AL216" i="13"/>
  <c r="AL276" i="13"/>
  <c r="BY109" i="13"/>
  <c r="AO276" i="13"/>
  <c r="AG216" i="13"/>
  <c r="AF216" i="13"/>
  <c r="AE276" i="13"/>
  <c r="AC277" i="13"/>
  <c r="AN217" i="13"/>
  <c r="AN276" i="13"/>
  <c r="AG277" i="13"/>
  <c r="AQ108" i="13"/>
  <c r="CI109" i="13" s="1"/>
  <c r="AD216" i="13"/>
  <c r="AO108" i="13"/>
  <c r="CG109" i="13" s="1"/>
  <c r="AM108" i="13"/>
  <c r="CE109" i="13" s="1"/>
  <c r="BW108" i="13"/>
  <c r="AP276" i="13"/>
  <c r="BX108" i="13"/>
  <c r="BV109" i="13"/>
  <c r="AZ125" i="13"/>
  <c r="BH125" i="13"/>
  <c r="BM125" i="13"/>
  <c r="BK125" i="13"/>
  <c r="AU125" i="13"/>
  <c r="BE125" i="13"/>
  <c r="AT125" i="13"/>
  <c r="BA125" i="13"/>
  <c r="AV125" i="13"/>
  <c r="AY125" i="13"/>
  <c r="BI125" i="13"/>
  <c r="BL125" i="13"/>
  <c r="BD125" i="13"/>
  <c r="BN125" i="13"/>
  <c r="BJ125" i="13"/>
  <c r="AX125" i="13"/>
  <c r="BC125" i="13"/>
  <c r="BO125" i="13"/>
  <c r="BP125" i="13"/>
  <c r="BF125" i="13"/>
  <c r="BB125" i="13"/>
  <c r="AW125" i="13"/>
  <c r="BQ125" i="13"/>
  <c r="BG125" i="13"/>
  <c r="J215" i="13"/>
  <c r="O215" i="13"/>
  <c r="Q215" i="13"/>
  <c r="A127" i="13"/>
  <c r="AS127" i="13" s="1"/>
  <c r="U215" i="13"/>
  <c r="N215" i="13"/>
  <c r="Y215" i="13"/>
  <c r="X110" i="13"/>
  <c r="BP111" i="13" s="1"/>
  <c r="V215" i="13"/>
  <c r="E215" i="13"/>
  <c r="S215" i="13"/>
  <c r="X215" i="13"/>
  <c r="L215" i="13"/>
  <c r="H215" i="13"/>
  <c r="B215" i="13"/>
  <c r="R215" i="13"/>
  <c r="I215" i="13"/>
  <c r="D215" i="13"/>
  <c r="W215" i="13"/>
  <c r="F215" i="13"/>
  <c r="M215" i="13"/>
  <c r="G215" i="13"/>
  <c r="C215" i="13"/>
  <c r="T215" i="13"/>
  <c r="K215" i="13"/>
  <c r="P215" i="13"/>
  <c r="AB226" i="13" l="1"/>
  <c r="AW65" i="13"/>
  <c r="CN65" i="13" s="1"/>
  <c r="EH65" i="13" s="1"/>
  <c r="AA226" i="13"/>
  <c r="AV65" i="13"/>
  <c r="CM65" i="13" s="1"/>
  <c r="EG65" i="13" s="1"/>
  <c r="Z226" i="13"/>
  <c r="AU65" i="13"/>
  <c r="CL65" i="13" s="1"/>
  <c r="EF65" i="13" s="1"/>
  <c r="BS127" i="13"/>
  <c r="BT127" i="13"/>
  <c r="BR127" i="13"/>
  <c r="CB127" i="13"/>
  <c r="BZ127" i="13"/>
  <c r="CC127" i="13"/>
  <c r="CA127" i="13"/>
  <c r="AI279" i="13"/>
  <c r="AH280" i="13"/>
  <c r="AK219" i="13"/>
  <c r="AJ219" i="13"/>
  <c r="AI219" i="13"/>
  <c r="AH219" i="13"/>
  <c r="AJ279" i="13"/>
  <c r="BW127" i="13"/>
  <c r="BX127" i="13"/>
  <c r="BV127" i="13"/>
  <c r="BY127" i="13"/>
  <c r="CE127" i="13"/>
  <c r="CI127" i="13"/>
  <c r="CD127" i="13"/>
  <c r="CJ127" i="13"/>
  <c r="CG127" i="13"/>
  <c r="CF127" i="13"/>
  <c r="CH127" i="13"/>
  <c r="AO107" i="13"/>
  <c r="CG108" i="13" s="1"/>
  <c r="AN277" i="13"/>
  <c r="AC278" i="13"/>
  <c r="AO277" i="13"/>
  <c r="AR217" i="13"/>
  <c r="AM217" i="13"/>
  <c r="AD278" i="13"/>
  <c r="AQ217" i="13"/>
  <c r="AE217" i="13"/>
  <c r="BX107" i="13"/>
  <c r="BW107" i="13"/>
  <c r="AQ107" i="13"/>
  <c r="CI108" i="13" s="1"/>
  <c r="AF217" i="13"/>
  <c r="AL277" i="13"/>
  <c r="AP107" i="13"/>
  <c r="CH108" i="13" s="1"/>
  <c r="AM278" i="13"/>
  <c r="BV108" i="13"/>
  <c r="AP277" i="13"/>
  <c r="AM107" i="13"/>
  <c r="CE108" i="13" s="1"/>
  <c r="AD217" i="13"/>
  <c r="AG278" i="13"/>
  <c r="AN218" i="13"/>
  <c r="AE277" i="13"/>
  <c r="AG217" i="13"/>
  <c r="BY108" i="13"/>
  <c r="AL217" i="13"/>
  <c r="AR278" i="13"/>
  <c r="AO217" i="13"/>
  <c r="AQ279" i="13"/>
  <c r="AL107" i="13"/>
  <c r="CD108" i="13" s="1"/>
  <c r="AF277" i="13"/>
  <c r="AN107" i="13"/>
  <c r="CF108" i="13" s="1"/>
  <c r="AR107" i="13"/>
  <c r="CJ108" i="13" s="1"/>
  <c r="AP217" i="13"/>
  <c r="AC217" i="13"/>
  <c r="P216" i="13"/>
  <c r="W64" i="13"/>
  <c r="BN64" i="13" s="1"/>
  <c r="T216" i="13"/>
  <c r="AA64" i="13"/>
  <c r="BR64" i="13" s="1"/>
  <c r="G216" i="13"/>
  <c r="N64" i="13"/>
  <c r="BE64" i="13" s="1"/>
  <c r="F216" i="13"/>
  <c r="M64" i="13"/>
  <c r="BD64" i="13" s="1"/>
  <c r="D216" i="13"/>
  <c r="K64" i="13"/>
  <c r="BB64" i="13" s="1"/>
  <c r="Y64" i="13"/>
  <c r="BP64" i="13" s="1"/>
  <c r="R216" i="13"/>
  <c r="H216" i="13"/>
  <c r="O64" i="13"/>
  <c r="BF64" i="13" s="1"/>
  <c r="X216" i="13"/>
  <c r="AE64" i="13"/>
  <c r="BV64" i="13" s="1"/>
  <c r="E216" i="13"/>
  <c r="L64" i="13"/>
  <c r="BC64" i="13" s="1"/>
  <c r="X109" i="13"/>
  <c r="N216" i="13"/>
  <c r="U64" i="13"/>
  <c r="BL64" i="13" s="1"/>
  <c r="A128" i="13"/>
  <c r="AS128" i="13" s="1"/>
  <c r="V64" i="13"/>
  <c r="BM64" i="13" s="1"/>
  <c r="O216" i="13"/>
  <c r="BN126" i="13"/>
  <c r="BO126" i="13"/>
  <c r="BD126" i="13"/>
  <c r="BM126" i="13"/>
  <c r="BB126" i="13"/>
  <c r="BQ126" i="13"/>
  <c r="BH126" i="13"/>
  <c r="AW126" i="13"/>
  <c r="BL126" i="13"/>
  <c r="AZ126" i="13"/>
  <c r="BA126" i="13"/>
  <c r="AV126" i="13"/>
  <c r="BC126" i="13"/>
  <c r="BF126" i="13"/>
  <c r="AX126" i="13"/>
  <c r="AT126" i="13"/>
  <c r="BG126" i="13"/>
  <c r="BE126" i="13"/>
  <c r="BJ126" i="13"/>
  <c r="BP126" i="13"/>
  <c r="BI126" i="13"/>
  <c r="AU126" i="13"/>
  <c r="AY126" i="13"/>
  <c r="BK126" i="13"/>
  <c r="K216" i="13"/>
  <c r="R64" i="13"/>
  <c r="BI64" i="13" s="1"/>
  <c r="C216" i="13"/>
  <c r="J64" i="13"/>
  <c r="BA64" i="13" s="1"/>
  <c r="M216" i="13"/>
  <c r="T64" i="13"/>
  <c r="BK64" i="13" s="1"/>
  <c r="W216" i="13"/>
  <c r="AD64" i="13"/>
  <c r="BU64" i="13" s="1"/>
  <c r="P64" i="13"/>
  <c r="BG64" i="13" s="1"/>
  <c r="I216" i="13"/>
  <c r="B216" i="13"/>
  <c r="I64" i="13"/>
  <c r="AZ64" i="13" s="1"/>
  <c r="S64" i="13"/>
  <c r="BJ64" i="13" s="1"/>
  <c r="L216" i="13"/>
  <c r="S216" i="13"/>
  <c r="Z64" i="13"/>
  <c r="BQ64" i="13" s="1"/>
  <c r="V216" i="13"/>
  <c r="AC64" i="13"/>
  <c r="BT64" i="13" s="1"/>
  <c r="Y216" i="13"/>
  <c r="AY64" i="13"/>
  <c r="CP64" i="13" s="1"/>
  <c r="U216" i="13"/>
  <c r="AB64" i="13"/>
  <c r="BS64" i="13" s="1"/>
  <c r="Q216" i="13"/>
  <c r="X64" i="13"/>
  <c r="BO64" i="13" s="1"/>
  <c r="J216" i="13"/>
  <c r="Q64" i="13"/>
  <c r="BH64" i="13" s="1"/>
  <c r="AA227" i="13" l="1"/>
  <c r="BS128" i="13"/>
  <c r="BT128" i="13"/>
  <c r="BR128" i="13"/>
  <c r="Z227" i="13"/>
  <c r="AB227" i="13"/>
  <c r="BZ128" i="13"/>
  <c r="CB128" i="13"/>
  <c r="CA128" i="13"/>
  <c r="CC128" i="13"/>
  <c r="AH220" i="13"/>
  <c r="AJ220" i="13"/>
  <c r="AH281" i="13"/>
  <c r="AJ280" i="13"/>
  <c r="AI220" i="13"/>
  <c r="AK220" i="13"/>
  <c r="AI280" i="13"/>
  <c r="BX128" i="13"/>
  <c r="BW128" i="13"/>
  <c r="BY128" i="13"/>
  <c r="BV128" i="13"/>
  <c r="CF128" i="13"/>
  <c r="CE128" i="13"/>
  <c r="CD128" i="13"/>
  <c r="CH128" i="13"/>
  <c r="CG128" i="13"/>
  <c r="CI128" i="13"/>
  <c r="CJ128" i="13"/>
  <c r="AP218" i="13"/>
  <c r="AL106" i="13"/>
  <c r="CD107" i="13" s="1"/>
  <c r="AL218" i="13"/>
  <c r="AN219" i="13"/>
  <c r="AP278" i="13"/>
  <c r="AL278" i="13"/>
  <c r="BX106" i="13"/>
  <c r="AM218" i="13"/>
  <c r="AO106" i="13"/>
  <c r="CG107" i="13" s="1"/>
  <c r="EK64" i="13"/>
  <c r="AN106" i="13"/>
  <c r="CF107" i="13" s="1"/>
  <c r="AO218" i="13"/>
  <c r="AG218" i="13"/>
  <c r="AD218" i="13"/>
  <c r="AM279" i="13"/>
  <c r="AQ106" i="13"/>
  <c r="CI107" i="13" s="1"/>
  <c r="AQ218" i="13"/>
  <c r="AC279" i="13"/>
  <c r="AC218" i="13"/>
  <c r="AR106" i="13"/>
  <c r="CJ107" i="13" s="1"/>
  <c r="AF278" i="13"/>
  <c r="AQ280" i="13"/>
  <c r="AR279" i="13"/>
  <c r="BY107" i="13"/>
  <c r="AE278" i="13"/>
  <c r="AG279" i="13"/>
  <c r="AM106" i="13"/>
  <c r="CE107" i="13" s="1"/>
  <c r="BV107" i="13"/>
  <c r="AP106" i="13"/>
  <c r="CH107" i="13" s="1"/>
  <c r="AF218" i="13"/>
  <c r="BW106" i="13"/>
  <c r="AE218" i="13"/>
  <c r="AD279" i="13"/>
  <c r="AR218" i="13"/>
  <c r="AO278" i="13"/>
  <c r="AN278" i="13"/>
  <c r="DN64" i="13"/>
  <c r="DC64" i="13"/>
  <c r="DG64" i="13"/>
  <c r="X108" i="13"/>
  <c r="BP109" i="13" s="1"/>
  <c r="DP64" i="13"/>
  <c r="H217" i="13"/>
  <c r="CX64" i="13"/>
  <c r="G217" i="13"/>
  <c r="J217" i="13"/>
  <c r="EJ64" i="13"/>
  <c r="V217" i="13"/>
  <c r="CT64" i="13"/>
  <c r="DA64" i="13"/>
  <c r="CU64" i="13"/>
  <c r="K217" i="13"/>
  <c r="N217" i="13"/>
  <c r="CW64" i="13"/>
  <c r="X217" i="13"/>
  <c r="CV64" i="13"/>
  <c r="F217" i="13"/>
  <c r="DH64" i="13"/>
  <c r="DM64" i="13"/>
  <c r="Y217" i="13"/>
  <c r="L217" i="13"/>
  <c r="B217" i="13"/>
  <c r="DE64" i="13"/>
  <c r="C217" i="13"/>
  <c r="BK127" i="13"/>
  <c r="AV127" i="13"/>
  <c r="AY127" i="13"/>
  <c r="BO127" i="13"/>
  <c r="BF127" i="13"/>
  <c r="BN127" i="13"/>
  <c r="BC127" i="13"/>
  <c r="BA127" i="13"/>
  <c r="AZ127" i="13"/>
  <c r="AU127" i="13"/>
  <c r="BL127" i="13"/>
  <c r="BI127" i="13"/>
  <c r="AW127" i="13"/>
  <c r="BP127" i="13"/>
  <c r="BJ127" i="13"/>
  <c r="BH127" i="13"/>
  <c r="BQ127" i="13"/>
  <c r="BB127" i="13"/>
  <c r="BM127" i="13"/>
  <c r="BE127" i="13"/>
  <c r="BG127" i="13"/>
  <c r="BD127" i="13"/>
  <c r="AT127" i="13"/>
  <c r="AX127" i="13"/>
  <c r="E217" i="13"/>
  <c r="R217" i="13"/>
  <c r="D217" i="13"/>
  <c r="DL64" i="13"/>
  <c r="P217" i="13"/>
  <c r="DB64" i="13"/>
  <c r="Q217" i="13"/>
  <c r="S217" i="13"/>
  <c r="I217" i="13"/>
  <c r="W217" i="13"/>
  <c r="DF64" i="13"/>
  <c r="DI64" i="13"/>
  <c r="U217" i="13"/>
  <c r="DK64" i="13"/>
  <c r="DD64" i="13"/>
  <c r="DO64" i="13"/>
  <c r="M217" i="13"/>
  <c r="O217" i="13"/>
  <c r="A129" i="13"/>
  <c r="AS129" i="13" s="1"/>
  <c r="BP110" i="13"/>
  <c r="CZ64" i="13"/>
  <c r="DJ64" i="13"/>
  <c r="CY64" i="13"/>
  <c r="T217" i="13"/>
  <c r="Z228" i="13" l="1"/>
  <c r="AB228" i="13"/>
  <c r="BR129" i="13"/>
  <c r="BT129" i="13"/>
  <c r="BS129" i="13"/>
  <c r="AA228" i="13"/>
  <c r="BZ129" i="13"/>
  <c r="CC129" i="13"/>
  <c r="CB129" i="13"/>
  <c r="CA129" i="13"/>
  <c r="AK221" i="13"/>
  <c r="AJ281" i="13"/>
  <c r="AJ221" i="13"/>
  <c r="AI281" i="13"/>
  <c r="AI221" i="13"/>
  <c r="AH282" i="13"/>
  <c r="AH221" i="13"/>
  <c r="BX129" i="13"/>
  <c r="BY129" i="13"/>
  <c r="BW129" i="13"/>
  <c r="BV129" i="13"/>
  <c r="CJ129" i="13"/>
  <c r="CE129" i="13"/>
  <c r="CH129" i="13"/>
  <c r="CF129" i="13"/>
  <c r="CD129" i="13"/>
  <c r="CI129" i="13"/>
  <c r="CG129" i="13"/>
  <c r="AD280" i="13"/>
  <c r="AP105" i="13"/>
  <c r="AE279" i="13"/>
  <c r="AF279" i="13"/>
  <c r="AQ219" i="13"/>
  <c r="AG219" i="13"/>
  <c r="AN105" i="13"/>
  <c r="BX104" i="13"/>
  <c r="AP279" i="13"/>
  <c r="AP219" i="13"/>
  <c r="AO279" i="13"/>
  <c r="BW104" i="13"/>
  <c r="AM105" i="13"/>
  <c r="AR280" i="13"/>
  <c r="AC219" i="13"/>
  <c r="AM280" i="13"/>
  <c r="AL219" i="13"/>
  <c r="AN279" i="13"/>
  <c r="AR219" i="13"/>
  <c r="AE219" i="13"/>
  <c r="AF219" i="13"/>
  <c r="BV106" i="13"/>
  <c r="AG280" i="13"/>
  <c r="BY106" i="13"/>
  <c r="AQ281" i="13"/>
  <c r="AR105" i="13"/>
  <c r="AC280" i="13"/>
  <c r="AQ105" i="13"/>
  <c r="AD219" i="13"/>
  <c r="AO219" i="13"/>
  <c r="AO105" i="13"/>
  <c r="AM219" i="13"/>
  <c r="AL279" i="13"/>
  <c r="AN220" i="13"/>
  <c r="AL105" i="13"/>
  <c r="T218" i="13"/>
  <c r="M218" i="13"/>
  <c r="Q218" i="13"/>
  <c r="P218" i="13"/>
  <c r="E218" i="13"/>
  <c r="L218" i="13"/>
  <c r="F218" i="13"/>
  <c r="X218" i="13"/>
  <c r="N218" i="13"/>
  <c r="G218" i="13"/>
  <c r="H218" i="13"/>
  <c r="X107" i="13"/>
  <c r="BP108" i="13" s="1"/>
  <c r="AT128" i="13"/>
  <c r="BC128" i="13"/>
  <c r="AU128" i="13"/>
  <c r="BD128" i="13"/>
  <c r="BN128" i="13"/>
  <c r="AZ128" i="13"/>
  <c r="BQ128" i="13"/>
  <c r="BF128" i="13"/>
  <c r="BA128" i="13"/>
  <c r="AW128" i="13"/>
  <c r="BG128" i="13"/>
  <c r="AY128" i="13"/>
  <c r="BE128" i="13"/>
  <c r="AV128" i="13"/>
  <c r="BM128" i="13"/>
  <c r="BK128" i="13"/>
  <c r="BO128" i="13"/>
  <c r="BH128" i="13"/>
  <c r="AX128" i="13"/>
  <c r="BJ128" i="13"/>
  <c r="BP128" i="13"/>
  <c r="BB128" i="13"/>
  <c r="BI128" i="13"/>
  <c r="BL128" i="13"/>
  <c r="A130" i="13"/>
  <c r="AS130" i="13" s="1"/>
  <c r="U218" i="13"/>
  <c r="I218" i="13"/>
  <c r="D218" i="13"/>
  <c r="O218" i="13"/>
  <c r="W218" i="13"/>
  <c r="S218" i="13"/>
  <c r="R218" i="13"/>
  <c r="C218" i="13"/>
  <c r="B218" i="13"/>
  <c r="Y218" i="13"/>
  <c r="K218" i="13"/>
  <c r="V218" i="13"/>
  <c r="J218" i="13"/>
  <c r="AA229" i="13" l="1"/>
  <c r="BS130" i="13"/>
  <c r="BT130" i="13"/>
  <c r="BR130" i="13"/>
  <c r="AB229" i="13"/>
  <c r="Z229" i="13"/>
  <c r="CH106" i="13"/>
  <c r="AS53" i="13"/>
  <c r="CE106" i="13"/>
  <c r="AP53" i="13"/>
  <c r="CI106" i="13"/>
  <c r="AT53" i="13"/>
  <c r="CJ106" i="13"/>
  <c r="AX53" i="13"/>
  <c r="CD106" i="13"/>
  <c r="AO53" i="13"/>
  <c r="CG106" i="13"/>
  <c r="AR53" i="13"/>
  <c r="CF106" i="13"/>
  <c r="AQ53" i="13"/>
  <c r="CA130" i="13"/>
  <c r="CC130" i="13"/>
  <c r="CB130" i="13"/>
  <c r="BZ130" i="13"/>
  <c r="AI282" i="13"/>
  <c r="AJ282" i="13"/>
  <c r="AH222" i="13"/>
  <c r="AI222" i="13"/>
  <c r="AJ222" i="13"/>
  <c r="AK222" i="13"/>
  <c r="BW130" i="13"/>
  <c r="BX130" i="13"/>
  <c r="BV130" i="13"/>
  <c r="BY130" i="13"/>
  <c r="CJ130" i="13"/>
  <c r="CD130" i="13"/>
  <c r="CI130" i="13"/>
  <c r="CG130" i="13"/>
  <c r="CH130" i="13"/>
  <c r="CE130" i="13"/>
  <c r="CF130" i="13"/>
  <c r="AL104" i="13"/>
  <c r="CD104" i="13" s="1"/>
  <c r="AL280" i="13"/>
  <c r="AO104" i="13"/>
  <c r="CG104" i="13" s="1"/>
  <c r="AD220" i="13"/>
  <c r="AC281" i="13"/>
  <c r="AQ282" i="13"/>
  <c r="AG281" i="13"/>
  <c r="AF220" i="13"/>
  <c r="AR220" i="13"/>
  <c r="AL220" i="13"/>
  <c r="AC220" i="13"/>
  <c r="AM104" i="13"/>
  <c r="CE104" i="13" s="1"/>
  <c r="AO280" i="13"/>
  <c r="AP280" i="13"/>
  <c r="AN104" i="13"/>
  <c r="CF104" i="13" s="1"/>
  <c r="AQ220" i="13"/>
  <c r="AE280" i="13"/>
  <c r="AD281" i="13"/>
  <c r="BW105" i="13"/>
  <c r="BX105" i="13"/>
  <c r="AN221" i="13"/>
  <c r="AM220" i="13"/>
  <c r="AO220" i="13"/>
  <c r="AQ104" i="13"/>
  <c r="CI104" i="13" s="1"/>
  <c r="AR104" i="13"/>
  <c r="CJ104" i="13" s="1"/>
  <c r="BY104" i="13"/>
  <c r="BV104" i="13"/>
  <c r="AE220" i="13"/>
  <c r="AN280" i="13"/>
  <c r="AM281" i="13"/>
  <c r="AR281" i="13"/>
  <c r="AP220" i="13"/>
  <c r="AG220" i="13"/>
  <c r="AF280" i="13"/>
  <c r="AP104" i="13"/>
  <c r="CH104" i="13" s="1"/>
  <c r="J219" i="13"/>
  <c r="K219" i="13"/>
  <c r="B219" i="13"/>
  <c r="R219" i="13"/>
  <c r="W219" i="13"/>
  <c r="D219" i="13"/>
  <c r="U219" i="13"/>
  <c r="X106" i="13"/>
  <c r="BP107" i="13" s="1"/>
  <c r="G219" i="13"/>
  <c r="X219" i="13"/>
  <c r="L219" i="13"/>
  <c r="P219" i="13"/>
  <c r="M219" i="13"/>
  <c r="AU129" i="13"/>
  <c r="BC129" i="13"/>
  <c r="AY129" i="13"/>
  <c r="BG129" i="13"/>
  <c r="BJ129" i="13"/>
  <c r="AT129" i="13"/>
  <c r="BO129" i="13"/>
  <c r="BF129" i="13"/>
  <c r="BL129" i="13"/>
  <c r="AZ129" i="13"/>
  <c r="AX129" i="13"/>
  <c r="BN129" i="13"/>
  <c r="BD129" i="13"/>
  <c r="BI129" i="13"/>
  <c r="BK129" i="13"/>
  <c r="AV129" i="13"/>
  <c r="BE129" i="13"/>
  <c r="BA129" i="13"/>
  <c r="BQ129" i="13"/>
  <c r="BH129" i="13"/>
  <c r="BM129" i="13"/>
  <c r="AW129" i="13"/>
  <c r="BB129" i="13"/>
  <c r="BP129" i="13"/>
  <c r="V219" i="13"/>
  <c r="Y219" i="13"/>
  <c r="C219" i="13"/>
  <c r="S219" i="13"/>
  <c r="O219" i="13"/>
  <c r="I219" i="13"/>
  <c r="A131" i="13"/>
  <c r="AS131" i="13" s="1"/>
  <c r="H219" i="13"/>
  <c r="N219" i="13"/>
  <c r="F219" i="13"/>
  <c r="E219" i="13"/>
  <c r="Q219" i="13"/>
  <c r="T219" i="13"/>
  <c r="AB230" i="13" l="1"/>
  <c r="Z230" i="13"/>
  <c r="BR131" i="13"/>
  <c r="BS131" i="13"/>
  <c r="BT131" i="13"/>
  <c r="AA230" i="13"/>
  <c r="CC131" i="13"/>
  <c r="BZ131" i="13"/>
  <c r="CA131" i="13"/>
  <c r="CB131" i="13"/>
  <c r="AK223" i="13"/>
  <c r="AI223" i="13"/>
  <c r="AJ223" i="13"/>
  <c r="AH223" i="13"/>
  <c r="BW131" i="13"/>
  <c r="BX131" i="13"/>
  <c r="BV131" i="13"/>
  <c r="CD131" i="13"/>
  <c r="CF131" i="13"/>
  <c r="CH131" i="13"/>
  <c r="BY131" i="13"/>
  <c r="CI131" i="13"/>
  <c r="CG131" i="13"/>
  <c r="CE131" i="13"/>
  <c r="CJ131" i="13"/>
  <c r="CG105" i="13"/>
  <c r="CI105" i="13"/>
  <c r="CF105" i="13"/>
  <c r="CD105" i="13"/>
  <c r="BY105" i="13"/>
  <c r="CH105" i="13"/>
  <c r="BV105" i="13"/>
  <c r="CJ105" i="13"/>
  <c r="CE105" i="13"/>
  <c r="AP221" i="13"/>
  <c r="AE221" i="13"/>
  <c r="AR221" i="13"/>
  <c r="AF281" i="13"/>
  <c r="AM282" i="13"/>
  <c r="AM221" i="13"/>
  <c r="AE281" i="13"/>
  <c r="AO281" i="13"/>
  <c r="AC221" i="13"/>
  <c r="AG282" i="13"/>
  <c r="AC282" i="13"/>
  <c r="AG221" i="13"/>
  <c r="AR282" i="13"/>
  <c r="AN281" i="13"/>
  <c r="AO221" i="13"/>
  <c r="AN222" i="13"/>
  <c r="AD282" i="13"/>
  <c r="AQ221" i="13"/>
  <c r="AP281" i="13"/>
  <c r="AL221" i="13"/>
  <c r="AF221" i="13"/>
  <c r="AD221" i="13"/>
  <c r="AL281" i="13"/>
  <c r="T220" i="13"/>
  <c r="E220" i="13"/>
  <c r="A132" i="13"/>
  <c r="AS132" i="13" s="1"/>
  <c r="O220" i="13"/>
  <c r="C220" i="13"/>
  <c r="V220" i="13"/>
  <c r="P220" i="13"/>
  <c r="X220" i="13"/>
  <c r="D220" i="13"/>
  <c r="K220" i="13"/>
  <c r="BQ130" i="13"/>
  <c r="BE130" i="13"/>
  <c r="AY130" i="13"/>
  <c r="AW130" i="13"/>
  <c r="AV130" i="13"/>
  <c r="BA130" i="13"/>
  <c r="BJ130" i="13"/>
  <c r="AZ130" i="13"/>
  <c r="BM130" i="13"/>
  <c r="BF130" i="13"/>
  <c r="BK130" i="13"/>
  <c r="BI130" i="13"/>
  <c r="BO130" i="13"/>
  <c r="AT130" i="13"/>
  <c r="BD130" i="13"/>
  <c r="BC130" i="13"/>
  <c r="AU130" i="13"/>
  <c r="BL130" i="13"/>
  <c r="BP130" i="13"/>
  <c r="BH130" i="13"/>
  <c r="BN130" i="13"/>
  <c r="AX130" i="13"/>
  <c r="BG130" i="13"/>
  <c r="BB130" i="13"/>
  <c r="N220" i="13"/>
  <c r="X105" i="13"/>
  <c r="BP106" i="13" s="1"/>
  <c r="R220" i="13"/>
  <c r="Q220" i="13"/>
  <c r="F220" i="13"/>
  <c r="H220" i="13"/>
  <c r="I220" i="13"/>
  <c r="S220" i="13"/>
  <c r="Y220" i="13"/>
  <c r="M220" i="13"/>
  <c r="L220" i="13"/>
  <c r="G220" i="13"/>
  <c r="U220" i="13"/>
  <c r="W220" i="13"/>
  <c r="B220" i="13"/>
  <c r="J220" i="13"/>
  <c r="AA231" i="13" l="1"/>
  <c r="BS132" i="13"/>
  <c r="BR132" i="13"/>
  <c r="BT132" i="13"/>
  <c r="Z231" i="13"/>
  <c r="AB231" i="13"/>
  <c r="CC132" i="13"/>
  <c r="BZ132" i="13"/>
  <c r="CB132" i="13"/>
  <c r="CA132" i="13"/>
  <c r="AH224" i="13"/>
  <c r="AI224" i="13"/>
  <c r="AJ224" i="13"/>
  <c r="AK224" i="13"/>
  <c r="BX132" i="13"/>
  <c r="BY132" i="13"/>
  <c r="BW132" i="13"/>
  <c r="BV132" i="13"/>
  <c r="CF132" i="13"/>
  <c r="CI132" i="13"/>
  <c r="CD132" i="13"/>
  <c r="CE132" i="13"/>
  <c r="CJ132" i="13"/>
  <c r="CG132" i="13"/>
  <c r="CH132" i="13"/>
  <c r="AF222" i="13"/>
  <c r="AP282" i="13"/>
  <c r="AO222" i="13"/>
  <c r="AC222" i="13"/>
  <c r="AE282" i="13"/>
  <c r="AR222" i="13"/>
  <c r="AD222" i="13"/>
  <c r="AL282" i="13"/>
  <c r="AP222" i="13"/>
  <c r="AL222" i="13"/>
  <c r="AQ222" i="13"/>
  <c r="AN223" i="13"/>
  <c r="AN282" i="13"/>
  <c r="AG222" i="13"/>
  <c r="AO282" i="13"/>
  <c r="AM222" i="13"/>
  <c r="AF282" i="13"/>
  <c r="AE222" i="13"/>
  <c r="G221" i="13"/>
  <c r="S221" i="13"/>
  <c r="X104" i="13"/>
  <c r="BP104" i="13" s="1"/>
  <c r="AE53" i="13"/>
  <c r="X221" i="13"/>
  <c r="O221" i="13"/>
  <c r="BM131" i="13"/>
  <c r="BJ131" i="13"/>
  <c r="BH131" i="13"/>
  <c r="AZ131" i="13"/>
  <c r="BF131" i="13"/>
  <c r="BE131" i="13"/>
  <c r="AX131" i="13"/>
  <c r="AU131" i="13"/>
  <c r="BA131" i="13"/>
  <c r="AV131" i="13"/>
  <c r="BP131" i="13"/>
  <c r="BD131" i="13"/>
  <c r="BB131" i="13"/>
  <c r="AT131" i="13"/>
  <c r="BO131" i="13"/>
  <c r="AW131" i="13"/>
  <c r="BG131" i="13"/>
  <c r="BL131" i="13"/>
  <c r="BI131" i="13"/>
  <c r="BK131" i="13"/>
  <c r="AY131" i="13"/>
  <c r="BC131" i="13"/>
  <c r="BQ131" i="13"/>
  <c r="BN131" i="13"/>
  <c r="J221" i="13"/>
  <c r="W221" i="13"/>
  <c r="M221" i="13"/>
  <c r="H221" i="13"/>
  <c r="Q221" i="13"/>
  <c r="K221" i="13"/>
  <c r="V221" i="13"/>
  <c r="E221" i="13"/>
  <c r="B221" i="13"/>
  <c r="U221" i="13"/>
  <c r="L221" i="13"/>
  <c r="Y221" i="13"/>
  <c r="I221" i="13"/>
  <c r="F221" i="13"/>
  <c r="R221" i="13"/>
  <c r="N221" i="13"/>
  <c r="D221" i="13"/>
  <c r="P221" i="13"/>
  <c r="C221" i="13"/>
  <c r="A133" i="13"/>
  <c r="AS133" i="13" s="1"/>
  <c r="T221" i="13"/>
  <c r="BT133" i="13" l="1"/>
  <c r="BR133" i="13"/>
  <c r="BS133" i="13"/>
  <c r="AB232" i="13"/>
  <c r="Z232" i="13"/>
  <c r="AA232" i="13"/>
  <c r="CB133" i="13"/>
  <c r="CA133" i="13"/>
  <c r="BZ133" i="13"/>
  <c r="CC133" i="13"/>
  <c r="AI225" i="13"/>
  <c r="AL65" i="13" s="1"/>
  <c r="CC65" i="13" s="1"/>
  <c r="AK225" i="13"/>
  <c r="AN65" i="13" s="1"/>
  <c r="CE65" i="13" s="1"/>
  <c r="AJ225" i="13"/>
  <c r="AM65" i="13" s="1"/>
  <c r="CD65" i="13" s="1"/>
  <c r="AH225" i="13"/>
  <c r="AK65" i="13" s="1"/>
  <c r="CB65" i="13" s="1"/>
  <c r="BX133" i="13"/>
  <c r="BW133" i="13"/>
  <c r="BV133" i="13"/>
  <c r="CG133" i="13"/>
  <c r="CF133" i="13"/>
  <c r="CH133" i="13"/>
  <c r="CI133" i="13"/>
  <c r="CJ133" i="13"/>
  <c r="CE133" i="13"/>
  <c r="BY133" i="13"/>
  <c r="CD133" i="13"/>
  <c r="AP223" i="13"/>
  <c r="AO223" i="13"/>
  <c r="AR223" i="13"/>
  <c r="AC223" i="13"/>
  <c r="AG223" i="13"/>
  <c r="AQ223" i="13"/>
  <c r="AF223" i="13"/>
  <c r="AE223" i="13"/>
  <c r="AM223" i="13"/>
  <c r="AN224" i="13"/>
  <c r="AL223" i="13"/>
  <c r="AD223" i="13"/>
  <c r="BP105" i="13"/>
  <c r="C222" i="13"/>
  <c r="R222" i="13"/>
  <c r="I222" i="13"/>
  <c r="B222" i="13"/>
  <c r="Q222" i="13"/>
  <c r="J222" i="13"/>
  <c r="X222" i="13"/>
  <c r="A134" i="13"/>
  <c r="AS134" i="13" s="1"/>
  <c r="N222" i="13"/>
  <c r="F222" i="13"/>
  <c r="Y222" i="13"/>
  <c r="U222" i="13"/>
  <c r="E222" i="13"/>
  <c r="K222" i="13"/>
  <c r="H222" i="13"/>
  <c r="W222" i="13"/>
  <c r="O222" i="13"/>
  <c r="T222" i="13"/>
  <c r="D222" i="13"/>
  <c r="L222" i="13"/>
  <c r="V222" i="13"/>
  <c r="M222" i="13"/>
  <c r="AV132" i="13"/>
  <c r="BN132" i="13"/>
  <c r="BL132" i="13"/>
  <c r="BF132" i="13"/>
  <c r="BG132" i="13"/>
  <c r="BA132" i="13"/>
  <c r="BK132" i="13"/>
  <c r="AU132" i="13"/>
  <c r="AW132" i="13"/>
  <c r="BC132" i="13"/>
  <c r="AX132" i="13"/>
  <c r="BE132" i="13"/>
  <c r="BJ132" i="13"/>
  <c r="BI132" i="13"/>
  <c r="BH132" i="13"/>
  <c r="AZ132" i="13"/>
  <c r="BQ132" i="13"/>
  <c r="BO132" i="13"/>
  <c r="AT132" i="13"/>
  <c r="BB132" i="13"/>
  <c r="BD132" i="13"/>
  <c r="AY132" i="13"/>
  <c r="BP132" i="13"/>
  <c r="BM132" i="13"/>
  <c r="S222" i="13"/>
  <c r="P222" i="13"/>
  <c r="G222" i="13"/>
  <c r="Z233" i="13" l="1"/>
  <c r="AA233" i="13"/>
  <c r="AB233" i="13"/>
  <c r="BS134" i="13"/>
  <c r="BR134" i="13"/>
  <c r="BT134" i="13"/>
  <c r="DX65" i="13"/>
  <c r="CD81" i="13"/>
  <c r="DY65" i="13"/>
  <c r="CE81" i="13"/>
  <c r="DV65" i="13"/>
  <c r="CB81" i="13"/>
  <c r="DW65" i="13"/>
  <c r="CC81" i="13"/>
  <c r="CB134" i="13"/>
  <c r="CC134" i="13"/>
  <c r="CA134" i="13"/>
  <c r="BZ134" i="13"/>
  <c r="AK226" i="13"/>
  <c r="AH226" i="13"/>
  <c r="AJ226" i="13"/>
  <c r="AI226" i="13"/>
  <c r="BU134" i="13"/>
  <c r="BW134" i="13"/>
  <c r="BX134" i="13"/>
  <c r="BV134" i="13"/>
  <c r="BY134" i="13"/>
  <c r="CF134" i="13"/>
  <c r="CD134" i="13"/>
  <c r="CI134" i="13"/>
  <c r="CG134" i="13"/>
  <c r="CE134" i="13"/>
  <c r="CH134" i="13"/>
  <c r="CJ134" i="13"/>
  <c r="AG224" i="13"/>
  <c r="AR224" i="13"/>
  <c r="AP224" i="13"/>
  <c r="AM224" i="13"/>
  <c r="AF224" i="13"/>
  <c r="AC224" i="13"/>
  <c r="AO224" i="13"/>
  <c r="AQ224" i="13"/>
  <c r="AL224" i="13"/>
  <c r="AD224" i="13"/>
  <c r="AN225" i="13"/>
  <c r="AQ65" i="13" s="1"/>
  <c r="CH65" i="13" s="1"/>
  <c r="AE224" i="13"/>
  <c r="AZ133" i="13"/>
  <c r="BM133" i="13"/>
  <c r="BN133" i="13"/>
  <c r="AW133" i="13"/>
  <c r="BE133" i="13"/>
  <c r="AY133" i="13"/>
  <c r="AU133" i="13"/>
  <c r="BD133" i="13"/>
  <c r="BK133" i="13"/>
  <c r="BB133" i="13"/>
  <c r="AT133" i="13"/>
  <c r="BA133" i="13"/>
  <c r="BG133" i="13"/>
  <c r="BF133" i="13"/>
  <c r="BO133" i="13"/>
  <c r="AX133" i="13"/>
  <c r="BC133" i="13"/>
  <c r="BL133" i="13"/>
  <c r="BH133" i="13"/>
  <c r="BP133" i="13"/>
  <c r="BI133" i="13"/>
  <c r="BJ133" i="13"/>
  <c r="AV133" i="13"/>
  <c r="BQ133" i="13"/>
  <c r="P223" i="13"/>
  <c r="M223" i="13"/>
  <c r="W223" i="13"/>
  <c r="K223" i="13"/>
  <c r="F223" i="13"/>
  <c r="J223" i="13"/>
  <c r="B223" i="13"/>
  <c r="L223" i="13"/>
  <c r="T223" i="13"/>
  <c r="U223" i="13"/>
  <c r="A135" i="13"/>
  <c r="AS135" i="13" s="1"/>
  <c r="R223" i="13"/>
  <c r="G223" i="13"/>
  <c r="S223" i="13"/>
  <c r="V223" i="13"/>
  <c r="D223" i="13"/>
  <c r="O223" i="13"/>
  <c r="H223" i="13"/>
  <c r="E223" i="13"/>
  <c r="Y223" i="13"/>
  <c r="N223" i="13"/>
  <c r="X223" i="13"/>
  <c r="Q223" i="13"/>
  <c r="I223" i="13"/>
  <c r="C223" i="13"/>
  <c r="BR135" i="13" l="1"/>
  <c r="BT135" i="13"/>
  <c r="BS135" i="13"/>
  <c r="AA235" i="13"/>
  <c r="AB235" i="13"/>
  <c r="Z235" i="13"/>
  <c r="EB65" i="13"/>
  <c r="CH81" i="13"/>
  <c r="BZ135" i="13"/>
  <c r="CB135" i="13"/>
  <c r="CA135" i="13"/>
  <c r="CC135" i="13"/>
  <c r="AI227" i="13"/>
  <c r="AH227" i="13"/>
  <c r="AJ227" i="13"/>
  <c r="AK227" i="13"/>
  <c r="BU135" i="13"/>
  <c r="BW135" i="13"/>
  <c r="BY135" i="13"/>
  <c r="BX135" i="13"/>
  <c r="BV135" i="13"/>
  <c r="CD135" i="13"/>
  <c r="CI135" i="13"/>
  <c r="CG135" i="13"/>
  <c r="CE135" i="13"/>
  <c r="CJ135" i="13"/>
  <c r="CH135" i="13"/>
  <c r="CF135" i="13"/>
  <c r="AN226" i="13"/>
  <c r="AL225" i="13"/>
  <c r="AO65" i="13" s="1"/>
  <c r="CF65" i="13" s="1"/>
  <c r="AO225" i="13"/>
  <c r="AR65" i="13" s="1"/>
  <c r="CI65" i="13" s="1"/>
  <c r="AF225" i="13"/>
  <c r="AI65" i="13" s="1"/>
  <c r="BZ65" i="13" s="1"/>
  <c r="AP225" i="13"/>
  <c r="AS65" i="13" s="1"/>
  <c r="CJ65" i="13" s="1"/>
  <c r="AG225" i="13"/>
  <c r="AJ65" i="13" s="1"/>
  <c r="CA65" i="13" s="1"/>
  <c r="AE225" i="13"/>
  <c r="AH65" i="13" s="1"/>
  <c r="BY65" i="13" s="1"/>
  <c r="AD225" i="13"/>
  <c r="AG65" i="13" s="1"/>
  <c r="BX65" i="13" s="1"/>
  <c r="AQ225" i="13"/>
  <c r="AT65" i="13" s="1"/>
  <c r="CK65" i="13" s="1"/>
  <c r="AC225" i="13"/>
  <c r="AF65" i="13" s="1"/>
  <c r="BW65" i="13" s="1"/>
  <c r="AM225" i="13"/>
  <c r="AP65" i="13" s="1"/>
  <c r="CG65" i="13" s="1"/>
  <c r="AR225" i="13"/>
  <c r="AX65" i="13" s="1"/>
  <c r="CO65" i="13" s="1"/>
  <c r="I224" i="13"/>
  <c r="X224" i="13"/>
  <c r="Y224" i="13"/>
  <c r="H224" i="13"/>
  <c r="D224" i="13"/>
  <c r="S224" i="13"/>
  <c r="R224" i="13"/>
  <c r="U224" i="13"/>
  <c r="L224" i="13"/>
  <c r="J224" i="13"/>
  <c r="K224" i="13"/>
  <c r="M224" i="13"/>
  <c r="BK134" i="13"/>
  <c r="BJ134" i="13"/>
  <c r="BN134" i="13"/>
  <c r="BP134" i="13"/>
  <c r="BB134" i="13"/>
  <c r="BL134" i="13"/>
  <c r="BQ134" i="13"/>
  <c r="AV134" i="13"/>
  <c r="BC134" i="13"/>
  <c r="BE134" i="13"/>
  <c r="AX134" i="13"/>
  <c r="BO134" i="13"/>
  <c r="AW134" i="13"/>
  <c r="BF134" i="13"/>
  <c r="BG134" i="13"/>
  <c r="BA134" i="13"/>
  <c r="BM134" i="13"/>
  <c r="BD134" i="13"/>
  <c r="AU134" i="13"/>
  <c r="BI134" i="13"/>
  <c r="AT134" i="13"/>
  <c r="AZ134" i="13"/>
  <c r="AY134" i="13"/>
  <c r="BH134" i="13"/>
  <c r="C224" i="13"/>
  <c r="Q224" i="13"/>
  <c r="N224" i="13"/>
  <c r="E224" i="13"/>
  <c r="O224" i="13"/>
  <c r="V224" i="13"/>
  <c r="G224" i="13"/>
  <c r="A136" i="13"/>
  <c r="AS136" i="13" s="1"/>
  <c r="T224" i="13"/>
  <c r="B224" i="13"/>
  <c r="F224" i="13"/>
  <c r="W224" i="13"/>
  <c r="P224" i="13"/>
  <c r="Z236" i="13" l="1"/>
  <c r="AU66" i="13"/>
  <c r="CL66" i="13" s="1"/>
  <c r="EF66" i="13" s="1"/>
  <c r="AA236" i="13"/>
  <c r="AV66" i="13"/>
  <c r="CM66" i="13" s="1"/>
  <c r="EG66" i="13" s="1"/>
  <c r="BR136" i="13"/>
  <c r="BT136" i="13"/>
  <c r="BS136" i="13"/>
  <c r="AB236" i="13"/>
  <c r="AW66" i="13"/>
  <c r="CN66" i="13" s="1"/>
  <c r="EH66" i="13" s="1"/>
  <c r="DU65" i="13"/>
  <c r="CA81" i="13"/>
  <c r="EE65" i="13"/>
  <c r="CK81" i="13"/>
  <c r="ED65" i="13"/>
  <c r="CJ81" i="13"/>
  <c r="EI65" i="13"/>
  <c r="CO81" i="13"/>
  <c r="DR65" i="13"/>
  <c r="BX81" i="13"/>
  <c r="DT65" i="13"/>
  <c r="BZ81" i="13"/>
  <c r="DQ65" i="13"/>
  <c r="BW81" i="13"/>
  <c r="DZ65" i="13"/>
  <c r="CF81" i="13"/>
  <c r="EA65" i="13"/>
  <c r="CG81" i="13"/>
  <c r="DS65" i="13"/>
  <c r="BY81" i="13"/>
  <c r="EC65" i="13"/>
  <c r="CI81" i="13"/>
  <c r="CA136" i="13"/>
  <c r="CB136" i="13"/>
  <c r="BZ136" i="13"/>
  <c r="CC136" i="13"/>
  <c r="AK228" i="13"/>
  <c r="AH228" i="13"/>
  <c r="AJ228" i="13"/>
  <c r="AI228" i="13"/>
  <c r="BU136" i="13"/>
  <c r="BW136" i="13"/>
  <c r="BX136" i="13"/>
  <c r="BV136" i="13"/>
  <c r="BY136" i="13"/>
  <c r="CI136" i="13"/>
  <c r="CG136" i="13"/>
  <c r="CH136" i="13"/>
  <c r="CE136" i="13"/>
  <c r="CD136" i="13"/>
  <c r="CJ136" i="13"/>
  <c r="CF136" i="13"/>
  <c r="AG226" i="13"/>
  <c r="AF226" i="13"/>
  <c r="AL226" i="13"/>
  <c r="AM226" i="13"/>
  <c r="AQ226" i="13"/>
  <c r="AE226" i="13"/>
  <c r="AP226" i="13"/>
  <c r="AO226" i="13"/>
  <c r="AN227" i="13"/>
  <c r="AR226" i="13"/>
  <c r="AC226" i="13"/>
  <c r="AD226" i="13"/>
  <c r="BI135" i="13"/>
  <c r="BO135" i="13"/>
  <c r="AU135" i="13"/>
  <c r="BC135" i="13"/>
  <c r="BD135" i="13"/>
  <c r="BJ135" i="13"/>
  <c r="BB135" i="13"/>
  <c r="BL135" i="13"/>
  <c r="BA135" i="13"/>
  <c r="AX135" i="13"/>
  <c r="BE135" i="13"/>
  <c r="BK135" i="13"/>
  <c r="BN135" i="13"/>
  <c r="BM135" i="13"/>
  <c r="BP135" i="13"/>
  <c r="AT135" i="13"/>
  <c r="AY135" i="13"/>
  <c r="AW135" i="13"/>
  <c r="AZ135" i="13"/>
  <c r="AV135" i="13"/>
  <c r="BQ135" i="13"/>
  <c r="BH135" i="13"/>
  <c r="BF135" i="13"/>
  <c r="BG135" i="13"/>
  <c r="W225" i="13"/>
  <c r="B225" i="13"/>
  <c r="A137" i="13"/>
  <c r="AS137" i="13" s="1"/>
  <c r="V225" i="13"/>
  <c r="E225" i="13"/>
  <c r="Q225" i="13"/>
  <c r="M225" i="13"/>
  <c r="J225" i="13"/>
  <c r="U225" i="13"/>
  <c r="S225" i="13"/>
  <c r="H225" i="13"/>
  <c r="X225" i="13"/>
  <c r="P225" i="13"/>
  <c r="F225" i="13"/>
  <c r="T225" i="13"/>
  <c r="G225" i="13"/>
  <c r="O225" i="13"/>
  <c r="N225" i="13"/>
  <c r="C225" i="13"/>
  <c r="K225" i="13"/>
  <c r="L225" i="13"/>
  <c r="R225" i="13"/>
  <c r="D225" i="13"/>
  <c r="Y225" i="13"/>
  <c r="I225" i="13"/>
  <c r="AA237" i="13" l="1"/>
  <c r="AB237" i="13"/>
  <c r="BS137" i="13"/>
  <c r="BR137" i="13"/>
  <c r="BT137" i="13"/>
  <c r="Z237" i="13"/>
  <c r="CB137" i="13"/>
  <c r="BZ137" i="13"/>
  <c r="CC137" i="13"/>
  <c r="CA137" i="13"/>
  <c r="AI229" i="13"/>
  <c r="AH229" i="13"/>
  <c r="AJ229" i="13"/>
  <c r="AK229" i="13"/>
  <c r="BX137" i="13"/>
  <c r="BU137" i="13"/>
  <c r="BW137" i="13"/>
  <c r="BV137" i="13"/>
  <c r="BY137" i="13"/>
  <c r="CI137" i="13"/>
  <c r="CJ137" i="13"/>
  <c r="CG137" i="13"/>
  <c r="CH137" i="13"/>
  <c r="CD137" i="13"/>
  <c r="CF137" i="13"/>
  <c r="CE137" i="13"/>
  <c r="AD227" i="13"/>
  <c r="AR227" i="13"/>
  <c r="AO227" i="13"/>
  <c r="AE227" i="13"/>
  <c r="AM227" i="13"/>
  <c r="AF227" i="13"/>
  <c r="AC227" i="13"/>
  <c r="AN228" i="13"/>
  <c r="AP227" i="13"/>
  <c r="AQ227" i="13"/>
  <c r="AL227" i="13"/>
  <c r="AG227" i="13"/>
  <c r="AY65" i="13"/>
  <c r="CP65" i="13" s="1"/>
  <c r="Y226" i="13"/>
  <c r="Y65" i="13"/>
  <c r="BP65" i="13" s="1"/>
  <c r="R226" i="13"/>
  <c r="K226" i="13"/>
  <c r="R65" i="13"/>
  <c r="BI65" i="13" s="1"/>
  <c r="N226" i="13"/>
  <c r="U65" i="13"/>
  <c r="BL65" i="13" s="1"/>
  <c r="G226" i="13"/>
  <c r="N65" i="13"/>
  <c r="BE65" i="13" s="1"/>
  <c r="F226" i="13"/>
  <c r="M65" i="13"/>
  <c r="BD65" i="13" s="1"/>
  <c r="X226" i="13"/>
  <c r="AE65" i="13"/>
  <c r="BV65" i="13" s="1"/>
  <c r="S226" i="13"/>
  <c r="Z65" i="13"/>
  <c r="BQ65" i="13" s="1"/>
  <c r="J226" i="13"/>
  <c r="Q65" i="13"/>
  <c r="BH65" i="13" s="1"/>
  <c r="Q226" i="13"/>
  <c r="X65" i="13"/>
  <c r="BO65" i="13" s="1"/>
  <c r="AC65" i="13"/>
  <c r="BT65" i="13" s="1"/>
  <c r="V226" i="13"/>
  <c r="B226" i="13"/>
  <c r="I65" i="13"/>
  <c r="AZ65" i="13" s="1"/>
  <c r="BE136" i="13"/>
  <c r="AV136" i="13"/>
  <c r="BM136" i="13"/>
  <c r="BQ136" i="13"/>
  <c r="BA136" i="13"/>
  <c r="BN136" i="13"/>
  <c r="BL136" i="13"/>
  <c r="BB136" i="13"/>
  <c r="AZ136" i="13"/>
  <c r="BF136" i="13"/>
  <c r="AW136" i="13"/>
  <c r="BJ136" i="13"/>
  <c r="AY136" i="13"/>
  <c r="BD136" i="13"/>
  <c r="AT136" i="13"/>
  <c r="BH136" i="13"/>
  <c r="BG136" i="13"/>
  <c r="BC136" i="13"/>
  <c r="BP136" i="13"/>
  <c r="AU136" i="13"/>
  <c r="BO136" i="13"/>
  <c r="BK136" i="13"/>
  <c r="AX136" i="13"/>
  <c r="BI136" i="13"/>
  <c r="I226" i="13"/>
  <c r="P65" i="13"/>
  <c r="BG65" i="13" s="1"/>
  <c r="D226" i="13"/>
  <c r="K65" i="13"/>
  <c r="BB65" i="13" s="1"/>
  <c r="S65" i="13"/>
  <c r="BJ65" i="13" s="1"/>
  <c r="L226" i="13"/>
  <c r="C226" i="13"/>
  <c r="J65" i="13"/>
  <c r="BA65" i="13" s="1"/>
  <c r="O226" i="13"/>
  <c r="V65" i="13"/>
  <c r="BM65" i="13" s="1"/>
  <c r="T226" i="13"/>
  <c r="AA65" i="13"/>
  <c r="BR65" i="13" s="1"/>
  <c r="P226" i="13"/>
  <c r="W65" i="13"/>
  <c r="BN65" i="13" s="1"/>
  <c r="H226" i="13"/>
  <c r="O65" i="13"/>
  <c r="BF65" i="13" s="1"/>
  <c r="U226" i="13"/>
  <c r="AB65" i="13"/>
  <c r="BS65" i="13" s="1"/>
  <c r="M226" i="13"/>
  <c r="T65" i="13"/>
  <c r="BK65" i="13" s="1"/>
  <c r="L65" i="13"/>
  <c r="BC65" i="13" s="1"/>
  <c r="E226" i="13"/>
  <c r="A138" i="13"/>
  <c r="AS138" i="13" s="1"/>
  <c r="W226" i="13"/>
  <c r="AD65" i="13"/>
  <c r="BU65" i="13" s="1"/>
  <c r="AB238" i="13" l="1"/>
  <c r="BR138" i="13"/>
  <c r="BS138" i="13"/>
  <c r="BT138" i="13"/>
  <c r="Z238" i="13"/>
  <c r="AA238" i="13"/>
  <c r="CC138" i="13"/>
  <c r="BZ138" i="13"/>
  <c r="CB138" i="13"/>
  <c r="CA138" i="13"/>
  <c r="AK230" i="13"/>
  <c r="AH230" i="13"/>
  <c r="AJ230" i="13"/>
  <c r="AI230" i="13"/>
  <c r="BW138" i="13"/>
  <c r="BU138" i="13"/>
  <c r="BV138" i="13"/>
  <c r="BX138" i="13"/>
  <c r="BY138" i="13"/>
  <c r="CG138" i="13"/>
  <c r="CI138" i="13"/>
  <c r="CJ138" i="13"/>
  <c r="CD138" i="13"/>
  <c r="CF138" i="13"/>
  <c r="CE138" i="13"/>
  <c r="CH138" i="13"/>
  <c r="AP228" i="13"/>
  <c r="AM228" i="13"/>
  <c r="AO228" i="13"/>
  <c r="AD228" i="13"/>
  <c r="AG228" i="13"/>
  <c r="AQ228" i="13"/>
  <c r="AN229" i="13"/>
  <c r="AL228" i="13"/>
  <c r="AC228" i="13"/>
  <c r="EK65" i="13"/>
  <c r="AF228" i="13"/>
  <c r="AE228" i="13"/>
  <c r="AR228" i="13"/>
  <c r="CW65" i="13"/>
  <c r="P227" i="13"/>
  <c r="DD65" i="13"/>
  <c r="DN65" i="13"/>
  <c r="DF65" i="13"/>
  <c r="BE137" i="13"/>
  <c r="AW137" i="13"/>
  <c r="BO137" i="13"/>
  <c r="BL137" i="13"/>
  <c r="BM137" i="13"/>
  <c r="BN137" i="13"/>
  <c r="AZ137" i="13"/>
  <c r="BP137" i="13"/>
  <c r="BC137" i="13"/>
  <c r="AU137" i="13"/>
  <c r="BG137" i="13"/>
  <c r="BH137" i="13"/>
  <c r="AT137" i="13"/>
  <c r="BI137" i="13"/>
  <c r="BD137" i="13"/>
  <c r="BA137" i="13"/>
  <c r="AY137" i="13"/>
  <c r="BB137" i="13"/>
  <c r="BQ137" i="13"/>
  <c r="BK137" i="13"/>
  <c r="AV137" i="13"/>
  <c r="AX137" i="13"/>
  <c r="BJ137" i="13"/>
  <c r="BF137" i="13"/>
  <c r="DG65" i="13"/>
  <c r="C227" i="13"/>
  <c r="DA65" i="13"/>
  <c r="B227" i="13"/>
  <c r="DB65" i="13"/>
  <c r="S227" i="13"/>
  <c r="CY65" i="13"/>
  <c r="N227" i="13"/>
  <c r="Y227" i="13"/>
  <c r="DO65" i="13"/>
  <c r="A139" i="13"/>
  <c r="AS139" i="13" s="1"/>
  <c r="DE65" i="13"/>
  <c r="U227" i="13"/>
  <c r="DL65" i="13"/>
  <c r="O227" i="13"/>
  <c r="CV65" i="13"/>
  <c r="I227" i="13"/>
  <c r="DI65" i="13"/>
  <c r="J227" i="13"/>
  <c r="CX65" i="13"/>
  <c r="G227" i="13"/>
  <c r="R227" i="13"/>
  <c r="EJ65" i="13"/>
  <c r="CZ65" i="13"/>
  <c r="CU65" i="13"/>
  <c r="CT65" i="13"/>
  <c r="DK65" i="13"/>
  <c r="X227" i="13"/>
  <c r="K227" i="13"/>
  <c r="DM65" i="13"/>
  <c r="H227" i="13"/>
  <c r="W227" i="13"/>
  <c r="E227" i="13"/>
  <c r="M227" i="13"/>
  <c r="DH65" i="13"/>
  <c r="T227" i="13"/>
  <c r="L227" i="13"/>
  <c r="D227" i="13"/>
  <c r="V227" i="13"/>
  <c r="Q227" i="13"/>
  <c r="DP65" i="13"/>
  <c r="F227" i="13"/>
  <c r="DC65" i="13"/>
  <c r="DJ65" i="13"/>
  <c r="AA239" i="13" l="1"/>
  <c r="BR139" i="13"/>
  <c r="BT139" i="13"/>
  <c r="BS139" i="13"/>
  <c r="Z239" i="13"/>
  <c r="AB239" i="13"/>
  <c r="BZ139" i="13"/>
  <c r="CC139" i="13"/>
  <c r="CB139" i="13"/>
  <c r="CA139" i="13"/>
  <c r="AI231" i="13"/>
  <c r="AH231" i="13"/>
  <c r="AJ231" i="13"/>
  <c r="AK231" i="13"/>
  <c r="BU139" i="13"/>
  <c r="BW139" i="13"/>
  <c r="BX139" i="13"/>
  <c r="CE139" i="13"/>
  <c r="CI139" i="13"/>
  <c r="BY139" i="13"/>
  <c r="CJ139" i="13"/>
  <c r="BV139" i="13"/>
  <c r="CH139" i="13"/>
  <c r="CF139" i="13"/>
  <c r="CD139" i="13"/>
  <c r="CG139" i="13"/>
  <c r="AF229" i="13"/>
  <c r="AC229" i="13"/>
  <c r="AN230" i="13"/>
  <c r="AG229" i="13"/>
  <c r="AO229" i="13"/>
  <c r="AP229" i="13"/>
  <c r="AE229" i="13"/>
  <c r="AR229" i="13"/>
  <c r="AL229" i="13"/>
  <c r="AQ229" i="13"/>
  <c r="AD229" i="13"/>
  <c r="AM229" i="13"/>
  <c r="F228" i="13"/>
  <c r="Q228" i="13"/>
  <c r="D228" i="13"/>
  <c r="T228" i="13"/>
  <c r="M228" i="13"/>
  <c r="W228" i="13"/>
  <c r="X228" i="13"/>
  <c r="R228" i="13"/>
  <c r="N228" i="13"/>
  <c r="S228" i="13"/>
  <c r="B228" i="13"/>
  <c r="C228" i="13"/>
  <c r="AV138" i="13"/>
  <c r="BI138" i="13"/>
  <c r="AU138" i="13"/>
  <c r="BC138" i="13"/>
  <c r="BE138" i="13"/>
  <c r="BP138" i="13"/>
  <c r="BQ138" i="13"/>
  <c r="AZ138" i="13"/>
  <c r="BB138" i="13"/>
  <c r="BN138" i="13"/>
  <c r="BF138" i="13"/>
  <c r="BM138" i="13"/>
  <c r="AY138" i="13"/>
  <c r="BL138" i="13"/>
  <c r="BJ138" i="13"/>
  <c r="BA138" i="13"/>
  <c r="AX138" i="13"/>
  <c r="BD138" i="13"/>
  <c r="BG138" i="13"/>
  <c r="BO138" i="13"/>
  <c r="AW138" i="13"/>
  <c r="BK138" i="13"/>
  <c r="AT138" i="13"/>
  <c r="BH138" i="13"/>
  <c r="V228" i="13"/>
  <c r="L228" i="13"/>
  <c r="E228" i="13"/>
  <c r="H228" i="13"/>
  <c r="K228" i="13"/>
  <c r="G228" i="13"/>
  <c r="J228" i="13"/>
  <c r="I228" i="13"/>
  <c r="O228" i="13"/>
  <c r="U228" i="13"/>
  <c r="A140" i="13"/>
  <c r="AS140" i="13" s="1"/>
  <c r="Y228" i="13"/>
  <c r="P228" i="13"/>
  <c r="BT140" i="13" l="1"/>
  <c r="BS140" i="13"/>
  <c r="BR140" i="13"/>
  <c r="AB240" i="13"/>
  <c r="Z240" i="13"/>
  <c r="AA240" i="13"/>
  <c r="CB140" i="13"/>
  <c r="CC140" i="13"/>
  <c r="CA140" i="13"/>
  <c r="BZ140" i="13"/>
  <c r="AK232" i="13"/>
  <c r="AH232" i="13"/>
  <c r="AJ232" i="13"/>
  <c r="AI232" i="13"/>
  <c r="BU140" i="13"/>
  <c r="BW140" i="13"/>
  <c r="BX140" i="13"/>
  <c r="BY140" i="13"/>
  <c r="BV140" i="13"/>
  <c r="CH140" i="13"/>
  <c r="CI140" i="13"/>
  <c r="CD140" i="13"/>
  <c r="CE140" i="13"/>
  <c r="CF140" i="13"/>
  <c r="CJ140" i="13"/>
  <c r="CG140" i="13"/>
  <c r="AE230" i="13"/>
  <c r="AN231" i="13"/>
  <c r="AD230" i="13"/>
  <c r="AL230" i="13"/>
  <c r="AO230" i="13"/>
  <c r="AF230" i="13"/>
  <c r="AM230" i="13"/>
  <c r="AQ230" i="13"/>
  <c r="AR230" i="13"/>
  <c r="AP230" i="13"/>
  <c r="AG230" i="13"/>
  <c r="AC230" i="13"/>
  <c r="Y229" i="13"/>
  <c r="U229" i="13"/>
  <c r="I229" i="13"/>
  <c r="G229" i="13"/>
  <c r="H229" i="13"/>
  <c r="L229" i="13"/>
  <c r="C229" i="13"/>
  <c r="S229" i="13"/>
  <c r="R229" i="13"/>
  <c r="W229" i="13"/>
  <c r="T229" i="13"/>
  <c r="Q229" i="13"/>
  <c r="BI139" i="13"/>
  <c r="BO139" i="13"/>
  <c r="BB139" i="13"/>
  <c r="BD139" i="13"/>
  <c r="BP139" i="13"/>
  <c r="BH139" i="13"/>
  <c r="BE139" i="13"/>
  <c r="AX139" i="13"/>
  <c r="BA139" i="13"/>
  <c r="BC139" i="13"/>
  <c r="BJ139" i="13"/>
  <c r="BL139" i="13"/>
  <c r="AT139" i="13"/>
  <c r="AY139" i="13"/>
  <c r="AZ139" i="13"/>
  <c r="AW139" i="13"/>
  <c r="BM139" i="13"/>
  <c r="AU139" i="13"/>
  <c r="AV139" i="13"/>
  <c r="BF139" i="13"/>
  <c r="BG139" i="13"/>
  <c r="BK139" i="13"/>
  <c r="BN139" i="13"/>
  <c r="BQ139" i="13"/>
  <c r="P229" i="13"/>
  <c r="A141" i="13"/>
  <c r="AS141" i="13" s="1"/>
  <c r="O229" i="13"/>
  <c r="J229" i="13"/>
  <c r="K229" i="13"/>
  <c r="E229" i="13"/>
  <c r="V229" i="13"/>
  <c r="B229" i="13"/>
  <c r="N229" i="13"/>
  <c r="X229" i="13"/>
  <c r="M229" i="13"/>
  <c r="D229" i="13"/>
  <c r="F229" i="13"/>
  <c r="BR141" i="13" l="1"/>
  <c r="BS141" i="13"/>
  <c r="BT141" i="13"/>
  <c r="AA241" i="13"/>
  <c r="AB241" i="13"/>
  <c r="Z241" i="13"/>
  <c r="CA141" i="13"/>
  <c r="BZ141" i="13"/>
  <c r="CC141" i="13"/>
  <c r="CB141" i="13"/>
  <c r="AI233" i="13"/>
  <c r="AH233" i="13"/>
  <c r="AJ233" i="13"/>
  <c r="AK233" i="13"/>
  <c r="BU141" i="13"/>
  <c r="BX141" i="13"/>
  <c r="BW141" i="13"/>
  <c r="BY141" i="13"/>
  <c r="CH141" i="13"/>
  <c r="CJ141" i="13"/>
  <c r="BV141" i="13"/>
  <c r="CF141" i="13"/>
  <c r="CD141" i="13"/>
  <c r="CI141" i="13"/>
  <c r="CE141" i="13"/>
  <c r="CG141" i="13"/>
  <c r="AR231" i="13"/>
  <c r="AO231" i="13"/>
  <c r="AE231" i="13"/>
  <c r="AG231" i="13"/>
  <c r="AM231" i="13"/>
  <c r="AD231" i="13"/>
  <c r="AC231" i="13"/>
  <c r="AP231" i="13"/>
  <c r="AQ231" i="13"/>
  <c r="AF231" i="13"/>
  <c r="AL231" i="13"/>
  <c r="AN232" i="13"/>
  <c r="BE140" i="13"/>
  <c r="AT140" i="13"/>
  <c r="AW140" i="13"/>
  <c r="BG140" i="13"/>
  <c r="AZ140" i="13"/>
  <c r="BH140" i="13"/>
  <c r="BI140" i="13"/>
  <c r="BP140" i="13"/>
  <c r="BL140" i="13"/>
  <c r="BF140" i="13"/>
  <c r="AV140" i="13"/>
  <c r="BD140" i="13"/>
  <c r="BJ140" i="13"/>
  <c r="BM140" i="13"/>
  <c r="BN140" i="13"/>
  <c r="BK140" i="13"/>
  <c r="AY140" i="13"/>
  <c r="BQ140" i="13"/>
  <c r="BB140" i="13"/>
  <c r="AU140" i="13"/>
  <c r="BC140" i="13"/>
  <c r="BA140" i="13"/>
  <c r="BO140" i="13"/>
  <c r="AX140" i="13"/>
  <c r="D230" i="13"/>
  <c r="X230" i="13"/>
  <c r="B230" i="13"/>
  <c r="E230" i="13"/>
  <c r="J230" i="13"/>
  <c r="A142" i="13"/>
  <c r="AS142" i="13" s="1"/>
  <c r="Q230" i="13"/>
  <c r="W230" i="13"/>
  <c r="S230" i="13"/>
  <c r="L230" i="13"/>
  <c r="G230" i="13"/>
  <c r="U230" i="13"/>
  <c r="F230" i="13"/>
  <c r="M230" i="13"/>
  <c r="N230" i="13"/>
  <c r="V230" i="13"/>
  <c r="K230" i="13"/>
  <c r="O230" i="13"/>
  <c r="P230" i="13"/>
  <c r="T230" i="13"/>
  <c r="R230" i="13"/>
  <c r="C230" i="13"/>
  <c r="H230" i="13"/>
  <c r="I230" i="13"/>
  <c r="Y230" i="13"/>
  <c r="BT142" i="13" l="1"/>
  <c r="BS142" i="13"/>
  <c r="BR142" i="13"/>
  <c r="Z242" i="13"/>
  <c r="AA242" i="13"/>
  <c r="AB242" i="13"/>
  <c r="CB142" i="13"/>
  <c r="CC142" i="13"/>
  <c r="BZ142" i="13"/>
  <c r="CA142" i="13"/>
  <c r="BU142" i="13"/>
  <c r="BX142" i="13"/>
  <c r="BW142" i="13"/>
  <c r="BV142" i="13"/>
  <c r="BY142" i="13"/>
  <c r="CI142" i="13"/>
  <c r="CJ142" i="13"/>
  <c r="CE142" i="13"/>
  <c r="CD142" i="13"/>
  <c r="CF142" i="13"/>
  <c r="CG142" i="13"/>
  <c r="CH142" i="13"/>
  <c r="AM232" i="13"/>
  <c r="AL232" i="13"/>
  <c r="AQ232" i="13"/>
  <c r="AC232" i="13"/>
  <c r="AE232" i="13"/>
  <c r="AR232" i="13"/>
  <c r="AN233" i="13"/>
  <c r="AF232" i="13"/>
  <c r="AP232" i="13"/>
  <c r="AD232" i="13"/>
  <c r="AG232" i="13"/>
  <c r="AO232" i="13"/>
  <c r="BA141" i="13"/>
  <c r="AZ141" i="13"/>
  <c r="BI141" i="13"/>
  <c r="BD141" i="13"/>
  <c r="AV141" i="13"/>
  <c r="BM141" i="13"/>
  <c r="BF141" i="13"/>
  <c r="BL141" i="13"/>
  <c r="BB141" i="13"/>
  <c r="AX141" i="13"/>
  <c r="BK141" i="13"/>
  <c r="BQ141" i="13"/>
  <c r="BO141" i="13"/>
  <c r="BP141" i="13"/>
  <c r="BC141" i="13"/>
  <c r="BG141" i="13"/>
  <c r="BJ141" i="13"/>
  <c r="AW141" i="13"/>
  <c r="BH141" i="13"/>
  <c r="AU141" i="13"/>
  <c r="AT141" i="13"/>
  <c r="BN141" i="13"/>
  <c r="BE141" i="13"/>
  <c r="AY141" i="13"/>
  <c r="I231" i="13"/>
  <c r="C231" i="13"/>
  <c r="T231" i="13"/>
  <c r="O231" i="13"/>
  <c r="V231" i="13"/>
  <c r="M231" i="13"/>
  <c r="U231" i="13"/>
  <c r="L231" i="13"/>
  <c r="W231" i="13"/>
  <c r="A143" i="13"/>
  <c r="AS143" i="13" s="1"/>
  <c r="E231" i="13"/>
  <c r="X231" i="13"/>
  <c r="Y231" i="13"/>
  <c r="H231" i="13"/>
  <c r="R231" i="13"/>
  <c r="P231" i="13"/>
  <c r="K231" i="13"/>
  <c r="N231" i="13"/>
  <c r="F231" i="13"/>
  <c r="G231" i="13"/>
  <c r="S231" i="13"/>
  <c r="Q231" i="13"/>
  <c r="J231" i="13"/>
  <c r="B231" i="13"/>
  <c r="D231" i="13"/>
  <c r="AB243" i="13" l="1"/>
  <c r="Z243" i="13"/>
  <c r="BR143" i="13"/>
  <c r="BS143" i="13"/>
  <c r="BT143" i="13"/>
  <c r="AA243" i="13"/>
  <c r="CC143" i="13"/>
  <c r="BZ143" i="13"/>
  <c r="CB143" i="13"/>
  <c r="CA143" i="13"/>
  <c r="BU143" i="13"/>
  <c r="BW143" i="13"/>
  <c r="BX143" i="13"/>
  <c r="BY143" i="13"/>
  <c r="BV143" i="13"/>
  <c r="CE143" i="13"/>
  <c r="CG143" i="13"/>
  <c r="CH143" i="13"/>
  <c r="CD143" i="13"/>
  <c r="CI143" i="13"/>
  <c r="CF143" i="13"/>
  <c r="CJ143" i="13"/>
  <c r="AP233" i="13"/>
  <c r="AQ233" i="13"/>
  <c r="AG233" i="13"/>
  <c r="AE233" i="13"/>
  <c r="AM233" i="13"/>
  <c r="AO233" i="13"/>
  <c r="AD233" i="13"/>
  <c r="AF233" i="13"/>
  <c r="AR233" i="13"/>
  <c r="AC233" i="13"/>
  <c r="AL233" i="13"/>
  <c r="BG142" i="13"/>
  <c r="BP142" i="13"/>
  <c r="BA142" i="13"/>
  <c r="BM142" i="13"/>
  <c r="BK142" i="13"/>
  <c r="AY142" i="13"/>
  <c r="BE142" i="13"/>
  <c r="AX142" i="13"/>
  <c r="BN142" i="13"/>
  <c r="AT142" i="13"/>
  <c r="BB142" i="13"/>
  <c r="AU142" i="13"/>
  <c r="BH142" i="13"/>
  <c r="AW142" i="13"/>
  <c r="BJ142" i="13"/>
  <c r="BL142" i="13"/>
  <c r="BF142" i="13"/>
  <c r="BI142" i="13"/>
  <c r="AV142" i="13"/>
  <c r="AZ142" i="13"/>
  <c r="BC142" i="13"/>
  <c r="BO142" i="13"/>
  <c r="BD142" i="13"/>
  <c r="BQ142" i="13"/>
  <c r="B232" i="13"/>
  <c r="Q232" i="13"/>
  <c r="G232" i="13"/>
  <c r="N232" i="13"/>
  <c r="P232" i="13"/>
  <c r="H232" i="13"/>
  <c r="X232" i="13"/>
  <c r="A144" i="13"/>
  <c r="AS144" i="13" s="1"/>
  <c r="L232" i="13"/>
  <c r="M232" i="13"/>
  <c r="O232" i="13"/>
  <c r="C232" i="13"/>
  <c r="D232" i="13"/>
  <c r="J232" i="13"/>
  <c r="S232" i="13"/>
  <c r="F232" i="13"/>
  <c r="K232" i="13"/>
  <c r="R232" i="13"/>
  <c r="Y232" i="13"/>
  <c r="E232" i="13"/>
  <c r="W232" i="13"/>
  <c r="U232" i="13"/>
  <c r="V232" i="13"/>
  <c r="T232" i="13"/>
  <c r="I232" i="13"/>
  <c r="AA244" i="13" l="1"/>
  <c r="Z244" i="13"/>
  <c r="BS144" i="13"/>
  <c r="BT144" i="13"/>
  <c r="BR144" i="13"/>
  <c r="AB244" i="13"/>
  <c r="CC144" i="13"/>
  <c r="BZ144" i="13"/>
  <c r="CB144" i="13"/>
  <c r="CA144" i="13"/>
  <c r="BX144" i="13"/>
  <c r="BU144" i="13"/>
  <c r="BW144" i="13"/>
  <c r="BY144" i="13"/>
  <c r="BV144" i="13"/>
  <c r="CG144" i="13"/>
  <c r="CE144" i="13"/>
  <c r="CI144" i="13"/>
  <c r="CJ144" i="13"/>
  <c r="CF144" i="13"/>
  <c r="CH144" i="13"/>
  <c r="CD144" i="13"/>
  <c r="BA143" i="13"/>
  <c r="BP143" i="13"/>
  <c r="BN143" i="13"/>
  <c r="BE143" i="13"/>
  <c r="AX143" i="13"/>
  <c r="AV143" i="13"/>
  <c r="BG143" i="13"/>
  <c r="BK143" i="13"/>
  <c r="BM143" i="13"/>
  <c r="BI143" i="13"/>
  <c r="BF143" i="13"/>
  <c r="BQ143" i="13"/>
  <c r="BL143" i="13"/>
  <c r="BD143" i="13"/>
  <c r="BJ143" i="13"/>
  <c r="BO143" i="13"/>
  <c r="AW143" i="13"/>
  <c r="BH143" i="13"/>
  <c r="BC143" i="13"/>
  <c r="AU143" i="13"/>
  <c r="BB143" i="13"/>
  <c r="AZ143" i="13"/>
  <c r="AT143" i="13"/>
  <c r="AY143" i="13"/>
  <c r="T233" i="13"/>
  <c r="U233" i="13"/>
  <c r="E233" i="13"/>
  <c r="R233" i="13"/>
  <c r="F233" i="13"/>
  <c r="J233" i="13"/>
  <c r="C233" i="13"/>
  <c r="M233" i="13"/>
  <c r="A145" i="13"/>
  <c r="AS145" i="13" s="1"/>
  <c r="H233" i="13"/>
  <c r="N233" i="13"/>
  <c r="Q233" i="13"/>
  <c r="I233" i="13"/>
  <c r="V233" i="13"/>
  <c r="W233" i="13"/>
  <c r="Y233" i="13"/>
  <c r="K233" i="13"/>
  <c r="S233" i="13"/>
  <c r="D233" i="13"/>
  <c r="O233" i="13"/>
  <c r="L233" i="13"/>
  <c r="X233" i="13"/>
  <c r="P233" i="13"/>
  <c r="G233" i="13"/>
  <c r="B233" i="13"/>
  <c r="AB245" i="13" l="1"/>
  <c r="BS145" i="13"/>
  <c r="BT145" i="13"/>
  <c r="BR145" i="13"/>
  <c r="Z245" i="13"/>
  <c r="AA245" i="13"/>
  <c r="CC145" i="13"/>
  <c r="BZ145" i="13"/>
  <c r="CA145" i="13"/>
  <c r="CB145" i="13"/>
  <c r="BU145" i="13"/>
  <c r="BW145" i="13"/>
  <c r="BV145" i="13"/>
  <c r="BY145" i="13"/>
  <c r="BX145" i="13"/>
  <c r="CH145" i="13"/>
  <c r="CE145" i="13"/>
  <c r="CI145" i="13"/>
  <c r="CG145" i="13"/>
  <c r="CJ145" i="13"/>
  <c r="CD145" i="13"/>
  <c r="CF145" i="13"/>
  <c r="G235" i="13"/>
  <c r="X235" i="13"/>
  <c r="O235" i="13"/>
  <c r="S235" i="13"/>
  <c r="Y235" i="13"/>
  <c r="V235" i="13"/>
  <c r="Q235" i="13"/>
  <c r="H235" i="13"/>
  <c r="M235" i="13"/>
  <c r="J235" i="13"/>
  <c r="R235" i="13"/>
  <c r="U235" i="13"/>
  <c r="AZ144" i="13"/>
  <c r="BI144" i="13"/>
  <c r="BA144" i="13"/>
  <c r="AW144" i="13"/>
  <c r="BM144" i="13"/>
  <c r="BE144" i="13"/>
  <c r="BF144" i="13"/>
  <c r="BB144" i="13"/>
  <c r="BK144" i="13"/>
  <c r="AU144" i="13"/>
  <c r="BG144" i="13"/>
  <c r="AV144" i="13"/>
  <c r="BC144" i="13"/>
  <c r="BH144" i="13"/>
  <c r="AX144" i="13"/>
  <c r="BO144" i="13"/>
  <c r="AY144" i="13"/>
  <c r="BJ144" i="13"/>
  <c r="BD144" i="13"/>
  <c r="BL144" i="13"/>
  <c r="BQ144" i="13"/>
  <c r="BN144" i="13"/>
  <c r="BP144" i="13"/>
  <c r="AT144" i="13"/>
  <c r="B235" i="13"/>
  <c r="P235" i="13"/>
  <c r="L235" i="13"/>
  <c r="D235" i="13"/>
  <c r="K235" i="13"/>
  <c r="W235" i="13"/>
  <c r="I235" i="13"/>
  <c r="N235" i="13"/>
  <c r="A146" i="13"/>
  <c r="AS146" i="13" s="1"/>
  <c r="C235" i="13"/>
  <c r="F235" i="13"/>
  <c r="E235" i="13"/>
  <c r="T235" i="13"/>
  <c r="AA246" i="13" l="1"/>
  <c r="AV67" i="13"/>
  <c r="CM67" i="13" s="1"/>
  <c r="EG67" i="13" s="1"/>
  <c r="Z246" i="13"/>
  <c r="AU67" i="13"/>
  <c r="CL67" i="13" s="1"/>
  <c r="EF67" i="13" s="1"/>
  <c r="BT146" i="13"/>
  <c r="BS146" i="13"/>
  <c r="BR146" i="13"/>
  <c r="AB246" i="13"/>
  <c r="AW67" i="13"/>
  <c r="CN67" i="13" s="1"/>
  <c r="EH67" i="13" s="1"/>
  <c r="BZ146" i="13"/>
  <c r="CB146" i="13"/>
  <c r="CC146" i="13"/>
  <c r="CA146" i="13"/>
  <c r="BU146" i="13"/>
  <c r="BX146" i="13"/>
  <c r="BW146" i="13"/>
  <c r="CI146" i="13"/>
  <c r="CJ146" i="13"/>
  <c r="CF146" i="13"/>
  <c r="CG146" i="13"/>
  <c r="CH146" i="13"/>
  <c r="CE146" i="13"/>
  <c r="CD146" i="13"/>
  <c r="BV146" i="13"/>
  <c r="BY146" i="13"/>
  <c r="L66" i="13"/>
  <c r="E236" i="13"/>
  <c r="C236" i="13"/>
  <c r="J66" i="13"/>
  <c r="U66" i="13"/>
  <c r="N236" i="13"/>
  <c r="W236" i="13"/>
  <c r="AD66" i="13"/>
  <c r="K66" i="13"/>
  <c r="D236" i="13"/>
  <c r="P236" i="13"/>
  <c r="W66" i="13"/>
  <c r="U236" i="13"/>
  <c r="AB66" i="13"/>
  <c r="J236" i="13"/>
  <c r="Q66" i="13"/>
  <c r="O66" i="13"/>
  <c r="H236" i="13"/>
  <c r="AC66" i="13"/>
  <c r="V236" i="13"/>
  <c r="S236" i="13"/>
  <c r="Z66" i="13"/>
  <c r="X236" i="13"/>
  <c r="AE66" i="13"/>
  <c r="BN145" i="13"/>
  <c r="BC145" i="13"/>
  <c r="AU145" i="13"/>
  <c r="AZ145" i="13"/>
  <c r="BA145" i="13"/>
  <c r="AV145" i="13"/>
  <c r="BI145" i="13"/>
  <c r="BK145" i="13"/>
  <c r="BH145" i="13"/>
  <c r="BJ145" i="13"/>
  <c r="AY145" i="13"/>
  <c r="BB145" i="13"/>
  <c r="BD145" i="13"/>
  <c r="BO145" i="13"/>
  <c r="BQ145" i="13"/>
  <c r="BE145" i="13"/>
  <c r="BL145" i="13"/>
  <c r="BP145" i="13"/>
  <c r="BM145" i="13"/>
  <c r="AX145" i="13"/>
  <c r="AW145" i="13"/>
  <c r="BG145" i="13"/>
  <c r="AT145" i="13"/>
  <c r="BF145" i="13"/>
  <c r="AA66" i="13"/>
  <c r="T236" i="13"/>
  <c r="M66" i="13"/>
  <c r="F236" i="13"/>
  <c r="A147" i="13"/>
  <c r="AS147" i="13" s="1"/>
  <c r="P66" i="13"/>
  <c r="I236" i="13"/>
  <c r="R66" i="13"/>
  <c r="K236" i="13"/>
  <c r="S66" i="13"/>
  <c r="L236" i="13"/>
  <c r="B236" i="13"/>
  <c r="I66" i="13"/>
  <c r="Y66" i="13"/>
  <c r="R236" i="13"/>
  <c r="T66" i="13"/>
  <c r="M236" i="13"/>
  <c r="Q236" i="13"/>
  <c r="X66" i="13"/>
  <c r="AY66" i="13"/>
  <c r="Y236" i="13"/>
  <c r="O236" i="13"/>
  <c r="V66" i="13"/>
  <c r="G236" i="13"/>
  <c r="N66" i="13"/>
  <c r="Z247" i="13" l="1"/>
  <c r="AB247" i="13"/>
  <c r="BT147" i="13"/>
  <c r="BR147" i="13"/>
  <c r="BS147" i="13"/>
  <c r="AA247" i="13"/>
  <c r="BZ147" i="13"/>
  <c r="CA147" i="13"/>
  <c r="CB147" i="13"/>
  <c r="CC147" i="13"/>
  <c r="BU147" i="13"/>
  <c r="BW147" i="13"/>
  <c r="BV147" i="13"/>
  <c r="BX147" i="13"/>
  <c r="BY147" i="13"/>
  <c r="CJ147" i="13"/>
  <c r="CD147" i="13"/>
  <c r="CH147" i="13"/>
  <c r="CI147" i="13"/>
  <c r="CG147" i="13"/>
  <c r="CE147" i="13"/>
  <c r="CF147" i="13"/>
  <c r="BJ66" i="13"/>
  <c r="BQ66" i="13"/>
  <c r="BE66" i="13"/>
  <c r="BR66" i="13"/>
  <c r="BF66" i="13"/>
  <c r="BL66" i="13"/>
  <c r="BK66" i="13"/>
  <c r="BH66" i="13"/>
  <c r="BN66" i="13"/>
  <c r="BU66" i="13"/>
  <c r="BA66" i="13"/>
  <c r="BP66" i="13"/>
  <c r="BG66" i="13"/>
  <c r="BS66" i="13"/>
  <c r="AZ66" i="13"/>
  <c r="BB66" i="13"/>
  <c r="BC66" i="13"/>
  <c r="CP66" i="13"/>
  <c r="BI66" i="13"/>
  <c r="BV66" i="13"/>
  <c r="BM66" i="13"/>
  <c r="BO66" i="13"/>
  <c r="BD66" i="13"/>
  <c r="BT66" i="13"/>
  <c r="Y237" i="13"/>
  <c r="Q237" i="13"/>
  <c r="BL146" i="13"/>
  <c r="BH146" i="13"/>
  <c r="BE146" i="13"/>
  <c r="BO146" i="13"/>
  <c r="BA146" i="13"/>
  <c r="BD146" i="13"/>
  <c r="BQ146" i="13"/>
  <c r="BB146" i="13"/>
  <c r="AY146" i="13"/>
  <c r="BC146" i="13"/>
  <c r="AT146" i="13"/>
  <c r="BN146" i="13"/>
  <c r="AV146" i="13"/>
  <c r="BK146" i="13"/>
  <c r="AZ146" i="13"/>
  <c r="AW146" i="13"/>
  <c r="BI146" i="13"/>
  <c r="BF146" i="13"/>
  <c r="AU146" i="13"/>
  <c r="BG146" i="13"/>
  <c r="BJ146" i="13"/>
  <c r="BP146" i="13"/>
  <c r="AX146" i="13"/>
  <c r="BM146" i="13"/>
  <c r="S237" i="13"/>
  <c r="U237" i="13"/>
  <c r="R237" i="13"/>
  <c r="B237" i="13"/>
  <c r="I237" i="13"/>
  <c r="A148" i="13"/>
  <c r="AS148" i="13" s="1"/>
  <c r="T237" i="13"/>
  <c r="X237" i="13"/>
  <c r="H237" i="13"/>
  <c r="J237" i="13"/>
  <c r="D237" i="13"/>
  <c r="W237" i="13"/>
  <c r="E237" i="13"/>
  <c r="O237" i="13"/>
  <c r="M237" i="13"/>
  <c r="K237" i="13"/>
  <c r="F237" i="13"/>
  <c r="V237" i="13"/>
  <c r="G237" i="13"/>
  <c r="L237" i="13"/>
  <c r="P237" i="13"/>
  <c r="N237" i="13"/>
  <c r="C237" i="13"/>
  <c r="AA248" i="13" l="1"/>
  <c r="AB248" i="13"/>
  <c r="BS148" i="13"/>
  <c r="BR148" i="13"/>
  <c r="BT148" i="13"/>
  <c r="Z248" i="13"/>
  <c r="BZ148" i="13"/>
  <c r="CB148" i="13"/>
  <c r="CC148" i="13"/>
  <c r="CA148" i="13"/>
  <c r="BU148" i="13"/>
  <c r="BX148" i="13"/>
  <c r="BY148" i="13"/>
  <c r="BW148" i="13"/>
  <c r="CH148" i="13"/>
  <c r="CD148" i="13"/>
  <c r="CE148" i="13"/>
  <c r="CF148" i="13"/>
  <c r="CJ148" i="13"/>
  <c r="BV148" i="13"/>
  <c r="CI148" i="13"/>
  <c r="CG148" i="13"/>
  <c r="EK66" i="13"/>
  <c r="CX66" i="13"/>
  <c r="DC66" i="13"/>
  <c r="CT66" i="13"/>
  <c r="CY66" i="13"/>
  <c r="DG66" i="13"/>
  <c r="CW66" i="13"/>
  <c r="DA66" i="13"/>
  <c r="CU66" i="13"/>
  <c r="DH66" i="13"/>
  <c r="DE66" i="13"/>
  <c r="CZ66" i="13"/>
  <c r="DD66" i="13"/>
  <c r="DN66" i="13"/>
  <c r="DI66" i="13"/>
  <c r="DP66" i="13"/>
  <c r="EJ66" i="13"/>
  <c r="CV66" i="13"/>
  <c r="DM66" i="13"/>
  <c r="DJ66" i="13"/>
  <c r="DO66" i="13"/>
  <c r="DB66" i="13"/>
  <c r="DF66" i="13"/>
  <c r="DL66" i="13"/>
  <c r="DK66" i="13"/>
  <c r="BP147" i="13"/>
  <c r="AU147" i="13"/>
  <c r="BH147" i="13"/>
  <c r="AY147" i="13"/>
  <c r="BJ147" i="13"/>
  <c r="BN147" i="13"/>
  <c r="BB147" i="13"/>
  <c r="BG147" i="13"/>
  <c r="BQ147" i="13"/>
  <c r="AV147" i="13"/>
  <c r="BF147" i="13"/>
  <c r="BD147" i="13"/>
  <c r="AT147" i="13"/>
  <c r="BM147" i="13"/>
  <c r="BI147" i="13"/>
  <c r="BA147" i="13"/>
  <c r="BO147" i="13"/>
  <c r="AW147" i="13"/>
  <c r="BC147" i="13"/>
  <c r="AX147" i="13"/>
  <c r="AZ147" i="13"/>
  <c r="BE147" i="13"/>
  <c r="BK147" i="13"/>
  <c r="BL147" i="13"/>
  <c r="N238" i="13"/>
  <c r="L238" i="13"/>
  <c r="V238" i="13"/>
  <c r="K238" i="13"/>
  <c r="O238" i="13"/>
  <c r="W238" i="13"/>
  <c r="J238" i="13"/>
  <c r="X238" i="13"/>
  <c r="A149" i="13"/>
  <c r="AS149" i="13" s="1"/>
  <c r="B238" i="13"/>
  <c r="U238" i="13"/>
  <c r="Q238" i="13"/>
  <c r="C238" i="13"/>
  <c r="P238" i="13"/>
  <c r="G238" i="13"/>
  <c r="F238" i="13"/>
  <c r="M238" i="13"/>
  <c r="E238" i="13"/>
  <c r="D238" i="13"/>
  <c r="H238" i="13"/>
  <c r="T238" i="13"/>
  <c r="I238" i="13"/>
  <c r="R238" i="13"/>
  <c r="S238" i="13"/>
  <c r="Y238" i="13"/>
  <c r="Z249" i="13" l="1"/>
  <c r="BS149" i="13"/>
  <c r="BR149" i="13"/>
  <c r="BT149" i="13"/>
  <c r="AB249" i="13"/>
  <c r="AA249" i="13"/>
  <c r="CA149" i="13"/>
  <c r="CC149" i="13"/>
  <c r="BZ149" i="13"/>
  <c r="CB149" i="13"/>
  <c r="BX149" i="13"/>
  <c r="CD149" i="13"/>
  <c r="BW149" i="13"/>
  <c r="CH149" i="13"/>
  <c r="BU149" i="13"/>
  <c r="BY149" i="13"/>
  <c r="CG149" i="13"/>
  <c r="CJ149" i="13"/>
  <c r="CF149" i="13"/>
  <c r="CE149" i="13"/>
  <c r="BV149" i="13"/>
  <c r="CI149" i="13"/>
  <c r="S239" i="13"/>
  <c r="I239" i="13"/>
  <c r="H239" i="13"/>
  <c r="E239" i="13"/>
  <c r="F239" i="13"/>
  <c r="P239" i="13"/>
  <c r="Q239" i="13"/>
  <c r="B239" i="13"/>
  <c r="X239" i="13"/>
  <c r="W239" i="13"/>
  <c r="K239" i="13"/>
  <c r="L239" i="13"/>
  <c r="AX148" i="13"/>
  <c r="BI148" i="13"/>
  <c r="BJ148" i="13"/>
  <c r="BH148" i="13"/>
  <c r="BM148" i="13"/>
  <c r="AU148" i="13"/>
  <c r="BP148" i="13"/>
  <c r="AT148" i="13"/>
  <c r="BD148" i="13"/>
  <c r="BF148" i="13"/>
  <c r="BE148" i="13"/>
  <c r="BQ148" i="13"/>
  <c r="BA148" i="13"/>
  <c r="BN148" i="13"/>
  <c r="AZ148" i="13"/>
  <c r="BC148" i="13"/>
  <c r="AW148" i="13"/>
  <c r="BL148" i="13"/>
  <c r="AY148" i="13"/>
  <c r="BO148" i="13"/>
  <c r="AV148" i="13"/>
  <c r="BG148" i="13"/>
  <c r="BB148" i="13"/>
  <c r="BK148" i="13"/>
  <c r="Y239" i="13"/>
  <c r="R239" i="13"/>
  <c r="T239" i="13"/>
  <c r="D239" i="13"/>
  <c r="M239" i="13"/>
  <c r="G239" i="13"/>
  <c r="C239" i="13"/>
  <c r="U239" i="13"/>
  <c r="A150" i="13"/>
  <c r="AS150" i="13" s="1"/>
  <c r="J239" i="13"/>
  <c r="O239" i="13"/>
  <c r="V239" i="13"/>
  <c r="N239" i="13"/>
  <c r="AA250" i="13" l="1"/>
  <c r="AB250" i="13"/>
  <c r="BT150" i="13"/>
  <c r="BR150" i="13"/>
  <c r="BS150" i="13"/>
  <c r="Z250" i="13"/>
  <c r="CA150" i="13"/>
  <c r="BZ150" i="13"/>
  <c r="CC150" i="13"/>
  <c r="CB150" i="13"/>
  <c r="CE150" i="13"/>
  <c r="BV150" i="13"/>
  <c r="CJ150" i="13"/>
  <c r="CG150" i="13"/>
  <c r="CH150" i="13"/>
  <c r="BY150" i="13"/>
  <c r="BX150" i="13"/>
  <c r="CF150" i="13"/>
  <c r="CD150" i="13"/>
  <c r="BW150" i="13"/>
  <c r="CI150" i="13"/>
  <c r="BU150" i="13"/>
  <c r="V240" i="13"/>
  <c r="J240" i="13"/>
  <c r="U240" i="13"/>
  <c r="G240" i="13"/>
  <c r="D240" i="13"/>
  <c r="R240" i="13"/>
  <c r="L240" i="13"/>
  <c r="W240" i="13"/>
  <c r="B240" i="13"/>
  <c r="P240" i="13"/>
  <c r="E240" i="13"/>
  <c r="I240" i="13"/>
  <c r="BQ149" i="13"/>
  <c r="BA149" i="13"/>
  <c r="BP149" i="13"/>
  <c r="BG149" i="13"/>
  <c r="BC149" i="13"/>
  <c r="BJ149" i="13"/>
  <c r="BI149" i="13"/>
  <c r="AX149" i="13"/>
  <c r="AT149" i="13"/>
  <c r="BK149" i="13"/>
  <c r="BO149" i="13"/>
  <c r="AZ149" i="13"/>
  <c r="BN149" i="13"/>
  <c r="AY149" i="13"/>
  <c r="BL149" i="13"/>
  <c r="AW149" i="13"/>
  <c r="BB149" i="13"/>
  <c r="BE149" i="13"/>
  <c r="AU149" i="13"/>
  <c r="BM149" i="13"/>
  <c r="BH149" i="13"/>
  <c r="AV149" i="13"/>
  <c r="BF149" i="13"/>
  <c r="BD149" i="13"/>
  <c r="N240" i="13"/>
  <c r="O240" i="13"/>
  <c r="A151" i="13"/>
  <c r="AS151" i="13" s="1"/>
  <c r="C240" i="13"/>
  <c r="M240" i="13"/>
  <c r="T240" i="13"/>
  <c r="Y240" i="13"/>
  <c r="K240" i="13"/>
  <c r="X240" i="13"/>
  <c r="Q240" i="13"/>
  <c r="F240" i="13"/>
  <c r="H240" i="13"/>
  <c r="S240" i="13"/>
  <c r="BS151" i="13" l="1"/>
  <c r="BR151" i="13"/>
  <c r="BT151" i="13"/>
  <c r="Z251" i="13"/>
  <c r="AB251" i="13"/>
  <c r="AA251" i="13"/>
  <c r="CC151" i="13"/>
  <c r="CA151" i="13"/>
  <c r="CB151" i="13"/>
  <c r="BZ151" i="13"/>
  <c r="CE151" i="13"/>
  <c r="CG151" i="13"/>
  <c r="CJ151" i="13"/>
  <c r="BU151" i="13"/>
  <c r="CD151" i="13"/>
  <c r="CH151" i="13"/>
  <c r="CI151" i="13"/>
  <c r="BW151" i="13"/>
  <c r="CF151" i="13"/>
  <c r="BV151" i="13"/>
  <c r="BY151" i="13"/>
  <c r="BX151" i="13"/>
  <c r="H241" i="13"/>
  <c r="Q241" i="13"/>
  <c r="K241" i="13"/>
  <c r="T241" i="13"/>
  <c r="C241" i="13"/>
  <c r="O241" i="13"/>
  <c r="I241" i="13"/>
  <c r="P241" i="13"/>
  <c r="W241" i="13"/>
  <c r="R241" i="13"/>
  <c r="G241" i="13"/>
  <c r="J241" i="13"/>
  <c r="AT150" i="13"/>
  <c r="AZ150" i="13"/>
  <c r="BC150" i="13"/>
  <c r="BF150" i="13"/>
  <c r="BL150" i="13"/>
  <c r="AU150" i="13"/>
  <c r="BI150" i="13"/>
  <c r="BJ150" i="13"/>
  <c r="BM150" i="13"/>
  <c r="BB150" i="13"/>
  <c r="BD150" i="13"/>
  <c r="BO150" i="13"/>
  <c r="BE150" i="13"/>
  <c r="BP150" i="13"/>
  <c r="BN150" i="13"/>
  <c r="AX150" i="13"/>
  <c r="AV150" i="13"/>
  <c r="BG150" i="13"/>
  <c r="BQ150" i="13"/>
  <c r="BA150" i="13"/>
  <c r="BH150" i="13"/>
  <c r="BK150" i="13"/>
  <c r="AY150" i="13"/>
  <c r="AW150" i="13"/>
  <c r="S241" i="13"/>
  <c r="F241" i="13"/>
  <c r="X241" i="13"/>
  <c r="Y241" i="13"/>
  <c r="M241" i="13"/>
  <c r="A152" i="13"/>
  <c r="N241" i="13"/>
  <c r="E241" i="13"/>
  <c r="B241" i="13"/>
  <c r="L241" i="13"/>
  <c r="D241" i="13"/>
  <c r="U241" i="13"/>
  <c r="V241" i="13"/>
  <c r="AA252" i="13" l="1"/>
  <c r="Z252" i="13"/>
  <c r="AB252" i="13"/>
  <c r="BK151" i="13"/>
  <c r="AY151" i="13"/>
  <c r="AW151" i="13"/>
  <c r="BG151" i="13"/>
  <c r="BH151" i="13"/>
  <c r="BP151" i="13"/>
  <c r="BN151" i="13"/>
  <c r="BA151" i="13"/>
  <c r="BF151" i="13"/>
  <c r="AT151" i="13"/>
  <c r="AZ151" i="13"/>
  <c r="AU151" i="13"/>
  <c r="BJ151" i="13"/>
  <c r="BM151" i="13"/>
  <c r="BC151" i="13"/>
  <c r="AX151" i="13"/>
  <c r="BO151" i="13"/>
  <c r="AV151" i="13"/>
  <c r="BB151" i="13"/>
  <c r="BI151" i="13"/>
  <c r="BE151" i="13"/>
  <c r="BD151" i="13"/>
  <c r="BL151" i="13"/>
  <c r="BQ151" i="13"/>
  <c r="U242" i="13"/>
  <c r="L242" i="13"/>
  <c r="E242" i="13"/>
  <c r="A153" i="13"/>
  <c r="AS152" i="13"/>
  <c r="Y242" i="13"/>
  <c r="F242" i="13"/>
  <c r="J242" i="13"/>
  <c r="R242" i="13"/>
  <c r="P242" i="13"/>
  <c r="O242" i="13"/>
  <c r="T242" i="13"/>
  <c r="Q242" i="13"/>
  <c r="V242" i="13"/>
  <c r="D242" i="13"/>
  <c r="B242" i="13"/>
  <c r="N242" i="13"/>
  <c r="M242" i="13"/>
  <c r="X242" i="13"/>
  <c r="S242" i="13"/>
  <c r="G242" i="13"/>
  <c r="W242" i="13"/>
  <c r="I242" i="13"/>
  <c r="C242" i="13"/>
  <c r="K242" i="13"/>
  <c r="H242" i="13"/>
  <c r="BS152" i="13" l="1"/>
  <c r="BR152" i="13"/>
  <c r="BT152" i="13"/>
  <c r="Z253" i="13"/>
  <c r="AB253" i="13"/>
  <c r="AA253" i="13"/>
  <c r="CA152" i="13"/>
  <c r="BZ152" i="13"/>
  <c r="CC152" i="13"/>
  <c r="CB152" i="13"/>
  <c r="BX152" i="13"/>
  <c r="CI152" i="13"/>
  <c r="CE152" i="13"/>
  <c r="BU152" i="13"/>
  <c r="CD152" i="13"/>
  <c r="BY152" i="13"/>
  <c r="BV152" i="13"/>
  <c r="BW152" i="13"/>
  <c r="CG152" i="13"/>
  <c r="CJ152" i="13"/>
  <c r="CF152" i="13"/>
  <c r="CH152" i="13"/>
  <c r="BH152" i="13"/>
  <c r="BB152" i="13"/>
  <c r="BK152" i="13"/>
  <c r="BF152" i="13"/>
  <c r="BL152" i="13"/>
  <c r="BI152" i="13"/>
  <c r="AW152" i="13"/>
  <c r="AX152" i="13"/>
  <c r="AV152" i="13"/>
  <c r="AU152" i="13"/>
  <c r="BN152" i="13"/>
  <c r="BQ152" i="13"/>
  <c r="BA152" i="13"/>
  <c r="BP152" i="13"/>
  <c r="BC152" i="13"/>
  <c r="BJ152" i="13"/>
  <c r="AZ152" i="13"/>
  <c r="BG152" i="13"/>
  <c r="AY152" i="13"/>
  <c r="BO152" i="13"/>
  <c r="BD152" i="13"/>
  <c r="BM152" i="13"/>
  <c r="AT152" i="13"/>
  <c r="BE152" i="13"/>
  <c r="K243" i="13"/>
  <c r="I243" i="13"/>
  <c r="G243" i="13"/>
  <c r="X243" i="13"/>
  <c r="N243" i="13"/>
  <c r="D243" i="13"/>
  <c r="Q243" i="13"/>
  <c r="O243" i="13"/>
  <c r="R243" i="13"/>
  <c r="F243" i="13"/>
  <c r="A154" i="13"/>
  <c r="AS153" i="13"/>
  <c r="L243" i="13"/>
  <c r="H243" i="13"/>
  <c r="C243" i="13"/>
  <c r="W243" i="13"/>
  <c r="S243" i="13"/>
  <c r="M243" i="13"/>
  <c r="B243" i="13"/>
  <c r="V243" i="13"/>
  <c r="T243" i="13"/>
  <c r="P243" i="13"/>
  <c r="J243" i="13"/>
  <c r="Y243" i="13"/>
  <c r="E243" i="13"/>
  <c r="U243" i="13"/>
  <c r="AA254" i="13" l="1"/>
  <c r="Z254" i="13"/>
  <c r="AB254" i="13"/>
  <c r="BR153" i="13"/>
  <c r="BS153" i="13"/>
  <c r="BT153" i="13"/>
  <c r="CA153" i="13"/>
  <c r="BZ153" i="13"/>
  <c r="CC153" i="13"/>
  <c r="CB153" i="13"/>
  <c r="BX153" i="13"/>
  <c r="CI153" i="13"/>
  <c r="BV153" i="13"/>
  <c r="CJ153" i="13"/>
  <c r="BY153" i="13"/>
  <c r="CD153" i="13"/>
  <c r="CG153" i="13"/>
  <c r="BW153" i="13"/>
  <c r="CF153" i="13"/>
  <c r="BU153" i="13"/>
  <c r="CE153" i="13"/>
  <c r="CH153" i="13"/>
  <c r="E244" i="13"/>
  <c r="J244" i="13"/>
  <c r="T244" i="13"/>
  <c r="B244" i="13"/>
  <c r="S244" i="13"/>
  <c r="C244" i="13"/>
  <c r="L244" i="13"/>
  <c r="F244" i="13"/>
  <c r="O244" i="13"/>
  <c r="D244" i="13"/>
  <c r="X244" i="13"/>
  <c r="I244" i="13"/>
  <c r="AU153" i="13"/>
  <c r="AV153" i="13"/>
  <c r="AX153" i="13"/>
  <c r="AT153" i="13"/>
  <c r="BM153" i="13"/>
  <c r="BO153" i="13"/>
  <c r="BG153" i="13"/>
  <c r="BL153" i="13"/>
  <c r="BK153" i="13"/>
  <c r="BE153" i="13"/>
  <c r="BD153" i="13"/>
  <c r="AW153" i="13"/>
  <c r="BI153" i="13"/>
  <c r="BP153" i="13"/>
  <c r="BN153" i="13"/>
  <c r="AZ153" i="13"/>
  <c r="BC153" i="13"/>
  <c r="BA153" i="13"/>
  <c r="BQ153" i="13"/>
  <c r="AY153" i="13"/>
  <c r="BF153" i="13"/>
  <c r="BB153" i="13"/>
  <c r="BH153" i="13"/>
  <c r="BJ153" i="13"/>
  <c r="U244" i="13"/>
  <c r="Y244" i="13"/>
  <c r="P244" i="13"/>
  <c r="V244" i="13"/>
  <c r="M244" i="13"/>
  <c r="W244" i="13"/>
  <c r="H244" i="13"/>
  <c r="A155" i="13"/>
  <c r="AS154" i="13"/>
  <c r="R244" i="13"/>
  <c r="Q244" i="13"/>
  <c r="N244" i="13"/>
  <c r="G244" i="13"/>
  <c r="K244" i="13"/>
  <c r="Z255" i="13" l="1"/>
  <c r="BT154" i="13"/>
  <c r="BR154" i="13"/>
  <c r="BS154" i="13"/>
  <c r="AB255" i="13"/>
  <c r="AA255" i="13"/>
  <c r="CC154" i="13"/>
  <c r="BZ154" i="13"/>
  <c r="CA154" i="13"/>
  <c r="CB154" i="13"/>
  <c r="CF154" i="13"/>
  <c r="CD154" i="13"/>
  <c r="CI154" i="13"/>
  <c r="BX154" i="13"/>
  <c r="CG154" i="13"/>
  <c r="CE154" i="13"/>
  <c r="BV154" i="13"/>
  <c r="CH154" i="13"/>
  <c r="CJ154" i="13"/>
  <c r="BW154" i="13"/>
  <c r="BU154" i="13"/>
  <c r="BY154" i="13"/>
  <c r="BO154" i="13"/>
  <c r="BB154" i="13"/>
  <c r="AY154" i="13"/>
  <c r="BG154" i="13"/>
  <c r="BM154" i="13"/>
  <c r="AX154" i="13"/>
  <c r="AU154" i="13"/>
  <c r="BJ154" i="13"/>
  <c r="BC154" i="13"/>
  <c r="BK154" i="13"/>
  <c r="AW154" i="13"/>
  <c r="BE154" i="13"/>
  <c r="BL154" i="13"/>
  <c r="BN154" i="13"/>
  <c r="BA154" i="13"/>
  <c r="AZ154" i="13"/>
  <c r="AT154" i="13"/>
  <c r="AV154" i="13"/>
  <c r="BP154" i="13"/>
  <c r="BH154" i="13"/>
  <c r="BF154" i="13"/>
  <c r="BD154" i="13"/>
  <c r="BI154" i="13"/>
  <c r="BQ154" i="13"/>
  <c r="G245" i="13"/>
  <c r="Q245" i="13"/>
  <c r="A156" i="13"/>
  <c r="AS155" i="13"/>
  <c r="W245" i="13"/>
  <c r="V245" i="13"/>
  <c r="Y245" i="13"/>
  <c r="I245" i="13"/>
  <c r="D245" i="13"/>
  <c r="F245" i="13"/>
  <c r="C245" i="13"/>
  <c r="B245" i="13"/>
  <c r="J245" i="13"/>
  <c r="K245" i="13"/>
  <c r="N245" i="13"/>
  <c r="R245" i="13"/>
  <c r="H245" i="13"/>
  <c r="M245" i="13"/>
  <c r="P245" i="13"/>
  <c r="U245" i="13"/>
  <c r="X245" i="13"/>
  <c r="O245" i="13"/>
  <c r="L245" i="13"/>
  <c r="S245" i="13"/>
  <c r="T245" i="13"/>
  <c r="E245" i="13"/>
  <c r="AA256" i="13" l="1"/>
  <c r="AV68" i="13"/>
  <c r="CM68" i="13" s="1"/>
  <c r="AB256" i="13"/>
  <c r="AW68" i="13"/>
  <c r="CN68" i="13" s="1"/>
  <c r="BS155" i="13"/>
  <c r="BT155" i="13"/>
  <c r="BR155" i="13"/>
  <c r="Z256" i="13"/>
  <c r="AU68" i="13"/>
  <c r="CL68" i="13" s="1"/>
  <c r="BZ155" i="13"/>
  <c r="CB155" i="13"/>
  <c r="CA155" i="13"/>
  <c r="CC155" i="13"/>
  <c r="CD155" i="13"/>
  <c r="CH155" i="13"/>
  <c r="BU155" i="13"/>
  <c r="CF155" i="13"/>
  <c r="BX155" i="13"/>
  <c r="BV155" i="13"/>
  <c r="BY155" i="13"/>
  <c r="CI155" i="13"/>
  <c r="CJ155" i="13"/>
  <c r="CE155" i="13"/>
  <c r="BW155" i="13"/>
  <c r="CG155" i="13"/>
  <c r="T246" i="13"/>
  <c r="AA67" i="13"/>
  <c r="L246" i="13"/>
  <c r="S67" i="13"/>
  <c r="X246" i="13"/>
  <c r="AE67" i="13"/>
  <c r="W67" i="13"/>
  <c r="P246" i="13"/>
  <c r="H246" i="13"/>
  <c r="O67" i="13"/>
  <c r="N246" i="13"/>
  <c r="U67" i="13"/>
  <c r="J246" i="13"/>
  <c r="Q67" i="13"/>
  <c r="C246" i="13"/>
  <c r="J67" i="13"/>
  <c r="D246" i="13"/>
  <c r="K67" i="13"/>
  <c r="Y246" i="13"/>
  <c r="AY67" i="13"/>
  <c r="W246" i="13"/>
  <c r="AD67" i="13"/>
  <c r="Q246" i="13"/>
  <c r="X67" i="13"/>
  <c r="BC155" i="13"/>
  <c r="BI155" i="13"/>
  <c r="BM155" i="13"/>
  <c r="BF155" i="13"/>
  <c r="AV155" i="13"/>
  <c r="BA155" i="13"/>
  <c r="AW155" i="13"/>
  <c r="AU155" i="13"/>
  <c r="BD155" i="13"/>
  <c r="BO155" i="13"/>
  <c r="BL155" i="13"/>
  <c r="BQ155" i="13"/>
  <c r="BJ155" i="13"/>
  <c r="BG155" i="13"/>
  <c r="AX155" i="13"/>
  <c r="AY155" i="13"/>
  <c r="BP155" i="13"/>
  <c r="AZ155" i="13"/>
  <c r="BN155" i="13"/>
  <c r="BE155" i="13"/>
  <c r="BH155" i="13"/>
  <c r="BB155" i="13"/>
  <c r="AT155" i="13"/>
  <c r="BK155" i="13"/>
  <c r="E246" i="13"/>
  <c r="L67" i="13"/>
  <c r="S246" i="13"/>
  <c r="Z67" i="13"/>
  <c r="O246" i="13"/>
  <c r="V67" i="13"/>
  <c r="U246" i="13"/>
  <c r="AB67" i="13"/>
  <c r="M246" i="13"/>
  <c r="T67" i="13"/>
  <c r="R246" i="13"/>
  <c r="Y67" i="13"/>
  <c r="K246" i="13"/>
  <c r="R67" i="13"/>
  <c r="I67" i="13"/>
  <c r="B246" i="13"/>
  <c r="F246" i="13"/>
  <c r="M67" i="13"/>
  <c r="I246" i="13"/>
  <c r="P67" i="13"/>
  <c r="V246" i="13"/>
  <c r="AC67" i="13"/>
  <c r="A157" i="13"/>
  <c r="AS156" i="13"/>
  <c r="G246" i="13"/>
  <c r="N67" i="13"/>
  <c r="CN81" i="13" l="1"/>
  <c r="EH68" i="13"/>
  <c r="CM81" i="13"/>
  <c r="EG68" i="13"/>
  <c r="CL81" i="13"/>
  <c r="EF68" i="13"/>
  <c r="BS156" i="13"/>
  <c r="BR156" i="13"/>
  <c r="BT156" i="13"/>
  <c r="AB257" i="13"/>
  <c r="Z257" i="13"/>
  <c r="AA257" i="13"/>
  <c r="BZ156" i="13"/>
  <c r="CA156" i="13"/>
  <c r="CC156" i="13"/>
  <c r="CB156" i="13"/>
  <c r="CD156" i="13"/>
  <c r="BU156" i="13"/>
  <c r="BX156" i="13"/>
  <c r="BW156" i="13"/>
  <c r="CJ156" i="13"/>
  <c r="CF156" i="13"/>
  <c r="CH156" i="13"/>
  <c r="BY156" i="13"/>
  <c r="BV156" i="13"/>
  <c r="CG156" i="13"/>
  <c r="CE156" i="13"/>
  <c r="CI156" i="13"/>
  <c r="BT67" i="13"/>
  <c r="BI67" i="13"/>
  <c r="BM67" i="13"/>
  <c r="BU67" i="13"/>
  <c r="BH67" i="13"/>
  <c r="BV67" i="13"/>
  <c r="BG67" i="13"/>
  <c r="BP67" i="13"/>
  <c r="BS67" i="13"/>
  <c r="BQ67" i="13"/>
  <c r="BO67" i="13"/>
  <c r="CP67" i="13"/>
  <c r="BA67" i="13"/>
  <c r="BL67" i="13"/>
  <c r="BJ67" i="13"/>
  <c r="BE67" i="13"/>
  <c r="BD67" i="13"/>
  <c r="BK67" i="13"/>
  <c r="BC67" i="13"/>
  <c r="BB67" i="13"/>
  <c r="BF67" i="13"/>
  <c r="BR67" i="13"/>
  <c r="AZ67" i="13"/>
  <c r="BN67" i="13"/>
  <c r="V247" i="13"/>
  <c r="B247" i="13"/>
  <c r="K247" i="13"/>
  <c r="O247" i="13"/>
  <c r="W247" i="13"/>
  <c r="J247" i="13"/>
  <c r="P247" i="13"/>
  <c r="X247" i="13"/>
  <c r="BA156" i="13"/>
  <c r="BQ156" i="13"/>
  <c r="BE156" i="13"/>
  <c r="AX156" i="13"/>
  <c r="BI156" i="13"/>
  <c r="BK156" i="13"/>
  <c r="BO156" i="13"/>
  <c r="BF156" i="13"/>
  <c r="BH156" i="13"/>
  <c r="AU156" i="13"/>
  <c r="AY156" i="13"/>
  <c r="BJ156" i="13"/>
  <c r="BC156" i="13"/>
  <c r="BL156" i="13"/>
  <c r="AZ156" i="13"/>
  <c r="AV156" i="13"/>
  <c r="BB156" i="13"/>
  <c r="AW156" i="13"/>
  <c r="BM156" i="13"/>
  <c r="BD156" i="13"/>
  <c r="BP156" i="13"/>
  <c r="AT156" i="13"/>
  <c r="BG156" i="13"/>
  <c r="BN156" i="13"/>
  <c r="U247" i="13"/>
  <c r="Q247" i="13"/>
  <c r="C247" i="13"/>
  <c r="A158" i="13"/>
  <c r="AS157" i="13"/>
  <c r="F247" i="13"/>
  <c r="M247" i="13"/>
  <c r="E247" i="13"/>
  <c r="D247" i="13"/>
  <c r="H247" i="13"/>
  <c r="T247" i="13"/>
  <c r="G247" i="13"/>
  <c r="I247" i="13"/>
  <c r="R247" i="13"/>
  <c r="S247" i="13"/>
  <c r="Y247" i="13"/>
  <c r="N247" i="13"/>
  <c r="L247" i="13"/>
  <c r="AA258" i="13" l="1"/>
  <c r="AB258" i="13"/>
  <c r="BT157" i="13"/>
  <c r="BR157" i="13"/>
  <c r="BS157" i="13"/>
  <c r="Z258" i="13"/>
  <c r="CC157" i="13"/>
  <c r="BZ157" i="13"/>
  <c r="CB157" i="13"/>
  <c r="CA157" i="13"/>
  <c r="CD157" i="13"/>
  <c r="CF157" i="13"/>
  <c r="CJ157" i="13"/>
  <c r="BW157" i="13"/>
  <c r="BY157" i="13"/>
  <c r="BU157" i="13"/>
  <c r="CH157" i="13"/>
  <c r="CE157" i="13"/>
  <c r="BV157" i="13"/>
  <c r="CI157" i="13"/>
  <c r="CG157" i="13"/>
  <c r="BX157" i="13"/>
  <c r="DN67" i="13"/>
  <c r="CT67" i="13"/>
  <c r="CZ67" i="13"/>
  <c r="CW67" i="13"/>
  <c r="CX67" i="13"/>
  <c r="DD67" i="13"/>
  <c r="CU67" i="13"/>
  <c r="DI67" i="13"/>
  <c r="DM67" i="13"/>
  <c r="DA67" i="13"/>
  <c r="DB67" i="13"/>
  <c r="DG67" i="13"/>
  <c r="EK67" i="13"/>
  <c r="DH67" i="13"/>
  <c r="DL67" i="13"/>
  <c r="CV67" i="13"/>
  <c r="DE67" i="13"/>
  <c r="CY67" i="13"/>
  <c r="DF67" i="13"/>
  <c r="EJ67" i="13"/>
  <c r="DK67" i="13"/>
  <c r="DJ67" i="13"/>
  <c r="DP67" i="13"/>
  <c r="DO67" i="13"/>
  <c r="DC67" i="13"/>
  <c r="AX157" i="13"/>
  <c r="BE157" i="13"/>
  <c r="BQ157" i="13"/>
  <c r="BF157" i="13"/>
  <c r="BL157" i="13"/>
  <c r="AU157" i="13"/>
  <c r="BH157" i="13"/>
  <c r="AZ157" i="13"/>
  <c r="BC157" i="13"/>
  <c r="BI157" i="13"/>
  <c r="BM157" i="13"/>
  <c r="AW157" i="13"/>
  <c r="BA157" i="13"/>
  <c r="BJ157" i="13"/>
  <c r="BG157" i="13"/>
  <c r="AT157" i="13"/>
  <c r="BO157" i="13"/>
  <c r="BN157" i="13"/>
  <c r="BB157" i="13"/>
  <c r="AV157" i="13"/>
  <c r="BP157" i="13"/>
  <c r="BK157" i="13"/>
  <c r="BD157" i="13"/>
  <c r="AY157" i="13"/>
  <c r="N248" i="13"/>
  <c r="S248" i="13"/>
  <c r="I248" i="13"/>
  <c r="T248" i="13"/>
  <c r="D248" i="13"/>
  <c r="M248" i="13"/>
  <c r="A159" i="13"/>
  <c r="AS158" i="13"/>
  <c r="Q248" i="13"/>
  <c r="X248" i="13"/>
  <c r="J248" i="13"/>
  <c r="O248" i="13"/>
  <c r="B248" i="13"/>
  <c r="L248" i="13"/>
  <c r="Y248" i="13"/>
  <c r="R248" i="13"/>
  <c r="G248" i="13"/>
  <c r="H248" i="13"/>
  <c r="E248" i="13"/>
  <c r="F248" i="13"/>
  <c r="C248" i="13"/>
  <c r="U248" i="13"/>
  <c r="P248" i="13"/>
  <c r="W248" i="13"/>
  <c r="K248" i="13"/>
  <c r="V248" i="13"/>
  <c r="Z259" i="13" l="1"/>
  <c r="AB259" i="13"/>
  <c r="BR158" i="13"/>
  <c r="BS158" i="13"/>
  <c r="BT158" i="13"/>
  <c r="AA259" i="13"/>
  <c r="CA158" i="13"/>
  <c r="BZ158" i="13"/>
  <c r="CC158" i="13"/>
  <c r="CB158" i="13"/>
  <c r="CD158" i="13"/>
  <c r="BU158" i="13"/>
  <c r="CE158" i="13"/>
  <c r="CG158" i="13"/>
  <c r="BY158" i="13"/>
  <c r="BW158" i="13"/>
  <c r="BV158" i="13"/>
  <c r="CJ158" i="13"/>
  <c r="CH158" i="13"/>
  <c r="BX158" i="13"/>
  <c r="CI158" i="13"/>
  <c r="CF158" i="13"/>
  <c r="P249" i="13"/>
  <c r="E249" i="13"/>
  <c r="B249" i="13"/>
  <c r="S249" i="13"/>
  <c r="K249" i="13"/>
  <c r="C249" i="13"/>
  <c r="G249" i="13"/>
  <c r="Y249" i="13"/>
  <c r="J249" i="13"/>
  <c r="Q249" i="13"/>
  <c r="M249" i="13"/>
  <c r="T249" i="13"/>
  <c r="AX158" i="13"/>
  <c r="AZ158" i="13"/>
  <c r="BP158" i="13"/>
  <c r="AV158" i="13"/>
  <c r="AU158" i="13"/>
  <c r="BA158" i="13"/>
  <c r="BH158" i="13"/>
  <c r="BF158" i="13"/>
  <c r="BE158" i="13"/>
  <c r="BD158" i="13"/>
  <c r="BB158" i="13"/>
  <c r="BO158" i="13"/>
  <c r="BG158" i="13"/>
  <c r="BC158" i="13"/>
  <c r="AW158" i="13"/>
  <c r="BM158" i="13"/>
  <c r="BL158" i="13"/>
  <c r="BQ158" i="13"/>
  <c r="BK158" i="13"/>
  <c r="BN158" i="13"/>
  <c r="AT158" i="13"/>
  <c r="AY158" i="13"/>
  <c r="BJ158" i="13"/>
  <c r="BI158" i="13"/>
  <c r="V249" i="13"/>
  <c r="W249" i="13"/>
  <c r="U249" i="13"/>
  <c r="F249" i="13"/>
  <c r="H249" i="13"/>
  <c r="R249" i="13"/>
  <c r="L249" i="13"/>
  <c r="O249" i="13"/>
  <c r="X249" i="13"/>
  <c r="A160" i="13"/>
  <c r="AS159" i="13"/>
  <c r="D249" i="13"/>
  <c r="I249" i="13"/>
  <c r="N249" i="13"/>
  <c r="BT159" i="13" l="1"/>
  <c r="BS159" i="13"/>
  <c r="BR159" i="13"/>
  <c r="AA260" i="13"/>
  <c r="AB260" i="13"/>
  <c r="Z260" i="13"/>
  <c r="CB159" i="13"/>
  <c r="BZ159" i="13"/>
  <c r="CC159" i="13"/>
  <c r="CA159" i="13"/>
  <c r="CD159" i="13"/>
  <c r="CH159" i="13"/>
  <c r="BV159" i="13"/>
  <c r="BY159" i="13"/>
  <c r="BX159" i="13"/>
  <c r="CI159" i="13"/>
  <c r="BU159" i="13"/>
  <c r="CE159" i="13"/>
  <c r="CF159" i="13"/>
  <c r="CJ159" i="13"/>
  <c r="BW159" i="13"/>
  <c r="CG159" i="13"/>
  <c r="AV159" i="13"/>
  <c r="BL159" i="13"/>
  <c r="AX159" i="13"/>
  <c r="BM159" i="13"/>
  <c r="BG159" i="13"/>
  <c r="BE159" i="13"/>
  <c r="AU159" i="13"/>
  <c r="BI159" i="13"/>
  <c r="BA159" i="13"/>
  <c r="AY159" i="13"/>
  <c r="BN159" i="13"/>
  <c r="BQ159" i="13"/>
  <c r="AW159" i="13"/>
  <c r="BC159" i="13"/>
  <c r="BO159" i="13"/>
  <c r="BB159" i="13"/>
  <c r="BD159" i="13"/>
  <c r="BH159" i="13"/>
  <c r="BJ159" i="13"/>
  <c r="BP159" i="13"/>
  <c r="AT159" i="13"/>
  <c r="BK159" i="13"/>
  <c r="AZ159" i="13"/>
  <c r="BF159" i="13"/>
  <c r="I250" i="13"/>
  <c r="A161" i="13"/>
  <c r="AS160" i="13"/>
  <c r="O250" i="13"/>
  <c r="R250" i="13"/>
  <c r="F250" i="13"/>
  <c r="W250" i="13"/>
  <c r="T250" i="13"/>
  <c r="Q250" i="13"/>
  <c r="Y250" i="13"/>
  <c r="C250" i="13"/>
  <c r="S250" i="13"/>
  <c r="E250" i="13"/>
  <c r="N250" i="13"/>
  <c r="D250" i="13"/>
  <c r="X250" i="13"/>
  <c r="L250" i="13"/>
  <c r="H250" i="13"/>
  <c r="U250" i="13"/>
  <c r="V250" i="13"/>
  <c r="M250" i="13"/>
  <c r="J250" i="13"/>
  <c r="G250" i="13"/>
  <c r="K250" i="13"/>
  <c r="B250" i="13"/>
  <c r="P250" i="13"/>
  <c r="BR160" i="13" l="1"/>
  <c r="BS160" i="13"/>
  <c r="BT160" i="13"/>
  <c r="Z261" i="13"/>
  <c r="AA261" i="13"/>
  <c r="AB261" i="13"/>
  <c r="CC160" i="13"/>
  <c r="BZ160" i="13"/>
  <c r="CB160" i="13"/>
  <c r="CA160" i="13"/>
  <c r="CD160" i="13"/>
  <c r="CE160" i="13"/>
  <c r="BY160" i="13"/>
  <c r="BW160" i="13"/>
  <c r="BV160" i="13"/>
  <c r="BX160" i="13"/>
  <c r="CJ160" i="13"/>
  <c r="CH160" i="13"/>
  <c r="CI160" i="13"/>
  <c r="CG160" i="13"/>
  <c r="CF160" i="13"/>
  <c r="BU160" i="13"/>
  <c r="G251" i="13"/>
  <c r="L251" i="13"/>
  <c r="C251" i="13"/>
  <c r="W251" i="13"/>
  <c r="BJ160" i="13"/>
  <c r="BG160" i="13"/>
  <c r="BF160" i="13"/>
  <c r="BM160" i="13"/>
  <c r="AX160" i="13"/>
  <c r="AZ160" i="13"/>
  <c r="AT160" i="13"/>
  <c r="BL160" i="13"/>
  <c r="AV160" i="13"/>
  <c r="BH160" i="13"/>
  <c r="BD160" i="13"/>
  <c r="BO160" i="13"/>
  <c r="BC160" i="13"/>
  <c r="AW160" i="13"/>
  <c r="BQ160" i="13"/>
  <c r="BA160" i="13"/>
  <c r="AU160" i="13"/>
  <c r="BE160" i="13"/>
  <c r="BK160" i="13"/>
  <c r="BP160" i="13"/>
  <c r="BB160" i="13"/>
  <c r="BN160" i="13"/>
  <c r="AY160" i="13"/>
  <c r="BI160" i="13"/>
  <c r="B251" i="13"/>
  <c r="M251" i="13"/>
  <c r="U251" i="13"/>
  <c r="D251" i="13"/>
  <c r="E251" i="13"/>
  <c r="Q251" i="13"/>
  <c r="R251" i="13"/>
  <c r="A162" i="13"/>
  <c r="AS161" i="13"/>
  <c r="P251" i="13"/>
  <c r="K251" i="13"/>
  <c r="J251" i="13"/>
  <c r="V251" i="13"/>
  <c r="H251" i="13"/>
  <c r="X251" i="13"/>
  <c r="N251" i="13"/>
  <c r="S251" i="13"/>
  <c r="Y251" i="13"/>
  <c r="T251" i="13"/>
  <c r="F251" i="13"/>
  <c r="O251" i="13"/>
  <c r="I251" i="13"/>
  <c r="AB262" i="13" l="1"/>
  <c r="Z262" i="13"/>
  <c r="BS161" i="13"/>
  <c r="BR161" i="13"/>
  <c r="BT161" i="13"/>
  <c r="AA262" i="13"/>
  <c r="CC161" i="13"/>
  <c r="CB161" i="13"/>
  <c r="BZ161" i="13"/>
  <c r="CA161" i="13"/>
  <c r="CD161" i="13"/>
  <c r="BX161" i="13"/>
  <c r="CJ161" i="13"/>
  <c r="BY161" i="13"/>
  <c r="CE161" i="13"/>
  <c r="BV161" i="13"/>
  <c r="CG161" i="13"/>
  <c r="BW161" i="13"/>
  <c r="CH161" i="13"/>
  <c r="BU161" i="13"/>
  <c r="CF161" i="13"/>
  <c r="CI161" i="13"/>
  <c r="BB161" i="13"/>
  <c r="BK161" i="13"/>
  <c r="BG161" i="13"/>
  <c r="BL161" i="13"/>
  <c r="AZ161" i="13"/>
  <c r="BP161" i="13"/>
  <c r="BD161" i="13"/>
  <c r="AT161" i="13"/>
  <c r="BJ161" i="13"/>
  <c r="AW161" i="13"/>
  <c r="BM161" i="13"/>
  <c r="AY161" i="13"/>
  <c r="BE161" i="13"/>
  <c r="AU161" i="13"/>
  <c r="BA161" i="13"/>
  <c r="BC161" i="13"/>
  <c r="BH161" i="13"/>
  <c r="AX161" i="13"/>
  <c r="BF161" i="13"/>
  <c r="BN161" i="13"/>
  <c r="BO161" i="13"/>
  <c r="AV161" i="13"/>
  <c r="BI161" i="13"/>
  <c r="BQ161" i="13"/>
  <c r="O252" i="13"/>
  <c r="T252" i="13"/>
  <c r="S252" i="13"/>
  <c r="X252" i="13"/>
  <c r="V252" i="13"/>
  <c r="K252" i="13"/>
  <c r="A163" i="13"/>
  <c r="AS162" i="13"/>
  <c r="Q252" i="13"/>
  <c r="D252" i="13"/>
  <c r="M252" i="13"/>
  <c r="W252" i="13"/>
  <c r="L252" i="13"/>
  <c r="I252" i="13"/>
  <c r="F252" i="13"/>
  <c r="Y252" i="13"/>
  <c r="N252" i="13"/>
  <c r="H252" i="13"/>
  <c r="J252" i="13"/>
  <c r="P252" i="13"/>
  <c r="R252" i="13"/>
  <c r="E252" i="13"/>
  <c r="U252" i="13"/>
  <c r="B252" i="13"/>
  <c r="C252" i="13"/>
  <c r="G252" i="13"/>
  <c r="AA263" i="13" l="1"/>
  <c r="Z263" i="13"/>
  <c r="BR162" i="13"/>
  <c r="BT162" i="13"/>
  <c r="BS162" i="13"/>
  <c r="AB263" i="13"/>
  <c r="CA162" i="13"/>
  <c r="CB162" i="13"/>
  <c r="CC162" i="13"/>
  <c r="BZ162" i="13"/>
  <c r="CD162" i="13"/>
  <c r="BV162" i="13"/>
  <c r="CF162" i="13"/>
  <c r="CJ162" i="13"/>
  <c r="BX162" i="13"/>
  <c r="BW162" i="13"/>
  <c r="CH162" i="13"/>
  <c r="CG162" i="13"/>
  <c r="CI162" i="13"/>
  <c r="CE162" i="13"/>
  <c r="BU162" i="13"/>
  <c r="BY162" i="13"/>
  <c r="C253" i="13"/>
  <c r="U253" i="13"/>
  <c r="R253" i="13"/>
  <c r="J253" i="13"/>
  <c r="N253" i="13"/>
  <c r="F253" i="13"/>
  <c r="L253" i="13"/>
  <c r="M253" i="13"/>
  <c r="Q253" i="13"/>
  <c r="K253" i="13"/>
  <c r="X253" i="13"/>
  <c r="T253" i="13"/>
  <c r="AV162" i="13"/>
  <c r="AY162" i="13"/>
  <c r="BL162" i="13"/>
  <c r="BK162" i="13"/>
  <c r="BM162" i="13"/>
  <c r="AW162" i="13"/>
  <c r="BI162" i="13"/>
  <c r="AT162" i="13"/>
  <c r="BD162" i="13"/>
  <c r="BN162" i="13"/>
  <c r="AZ162" i="13"/>
  <c r="BJ162" i="13"/>
  <c r="AX162" i="13"/>
  <c r="BH162" i="13"/>
  <c r="BC162" i="13"/>
  <c r="BA162" i="13"/>
  <c r="AU162" i="13"/>
  <c r="BE162" i="13"/>
  <c r="BQ162" i="13"/>
  <c r="BO162" i="13"/>
  <c r="BP162" i="13"/>
  <c r="BG162" i="13"/>
  <c r="BB162" i="13"/>
  <c r="BF162" i="13"/>
  <c r="G253" i="13"/>
  <c r="B253" i="13"/>
  <c r="E253" i="13"/>
  <c r="P253" i="13"/>
  <c r="H253" i="13"/>
  <c r="Y253" i="13"/>
  <c r="I253" i="13"/>
  <c r="W253" i="13"/>
  <c r="D253" i="13"/>
  <c r="A164" i="13"/>
  <c r="AS163" i="13"/>
  <c r="V253" i="13"/>
  <c r="S253" i="13"/>
  <c r="O253" i="13"/>
  <c r="BT163" i="13" l="1"/>
  <c r="BR163" i="13"/>
  <c r="BS163" i="13"/>
  <c r="AB264" i="13"/>
  <c r="Z264" i="13"/>
  <c r="AA264" i="13"/>
  <c r="BZ163" i="13"/>
  <c r="CA163" i="13"/>
  <c r="CC163" i="13"/>
  <c r="CB163" i="13"/>
  <c r="CD163" i="13"/>
  <c r="CJ163" i="13"/>
  <c r="CE163" i="13"/>
  <c r="BX163" i="13"/>
  <c r="CI163" i="13"/>
  <c r="CH163" i="13"/>
  <c r="CF163" i="13"/>
  <c r="CG163" i="13"/>
  <c r="BY163" i="13"/>
  <c r="BV163" i="13"/>
  <c r="BU163" i="13"/>
  <c r="BW163" i="13"/>
  <c r="W254" i="13"/>
  <c r="P254" i="13"/>
  <c r="T254" i="13"/>
  <c r="K254" i="13"/>
  <c r="M254" i="13"/>
  <c r="F254" i="13"/>
  <c r="J254" i="13"/>
  <c r="U254" i="13"/>
  <c r="AV163" i="13"/>
  <c r="BA163" i="13"/>
  <c r="AZ163" i="13"/>
  <c r="BG163" i="13"/>
  <c r="BP163" i="13"/>
  <c r="BQ163" i="13"/>
  <c r="AU163" i="13"/>
  <c r="BC163" i="13"/>
  <c r="AX163" i="13"/>
  <c r="BJ163" i="13"/>
  <c r="BN163" i="13"/>
  <c r="BD163" i="13"/>
  <c r="BI163" i="13"/>
  <c r="BM163" i="13"/>
  <c r="BK163" i="13"/>
  <c r="BL163" i="13"/>
  <c r="BF163" i="13"/>
  <c r="AY163" i="13"/>
  <c r="BB163" i="13"/>
  <c r="BO163" i="13"/>
  <c r="BE163" i="13"/>
  <c r="BH163" i="13"/>
  <c r="AT163" i="13"/>
  <c r="AW163" i="13"/>
  <c r="S254" i="13"/>
  <c r="A165" i="13"/>
  <c r="AS164" i="13"/>
  <c r="Y254" i="13"/>
  <c r="B254" i="13"/>
  <c r="O254" i="13"/>
  <c r="V254" i="13"/>
  <c r="D254" i="13"/>
  <c r="I254" i="13"/>
  <c r="H254" i="13"/>
  <c r="E254" i="13"/>
  <c r="G254" i="13"/>
  <c r="X254" i="13"/>
  <c r="Q254" i="13"/>
  <c r="L254" i="13"/>
  <c r="N254" i="13"/>
  <c r="R254" i="13"/>
  <c r="C254" i="13"/>
  <c r="AA265" i="13" l="1"/>
  <c r="AB265" i="13"/>
  <c r="Z265" i="13"/>
  <c r="BT164" i="13"/>
  <c r="BR164" i="13"/>
  <c r="BS164" i="13"/>
  <c r="CA164" i="13"/>
  <c r="CC164" i="13"/>
  <c r="CB164" i="13"/>
  <c r="BZ164" i="13"/>
  <c r="CD164" i="13"/>
  <c r="CI164" i="13"/>
  <c r="BY164" i="13"/>
  <c r="BW164" i="13"/>
  <c r="CF164" i="13"/>
  <c r="CH164" i="13"/>
  <c r="BX164" i="13"/>
  <c r="BV164" i="13"/>
  <c r="CE164" i="13"/>
  <c r="BU164" i="13"/>
  <c r="CJ164" i="13"/>
  <c r="CG164" i="13"/>
  <c r="C255" i="13"/>
  <c r="N255" i="13"/>
  <c r="AZ164" i="13"/>
  <c r="BE164" i="13"/>
  <c r="BF164" i="13"/>
  <c r="BB164" i="13"/>
  <c r="BD164" i="13"/>
  <c r="AX164" i="13"/>
  <c r="BH164" i="13"/>
  <c r="AV164" i="13"/>
  <c r="BA164" i="13"/>
  <c r="BO164" i="13"/>
  <c r="BK164" i="13"/>
  <c r="BM164" i="13"/>
  <c r="BI164" i="13"/>
  <c r="BN164" i="13"/>
  <c r="BJ164" i="13"/>
  <c r="BC164" i="13"/>
  <c r="BP164" i="13"/>
  <c r="AT164" i="13"/>
  <c r="AW164" i="13"/>
  <c r="AY164" i="13"/>
  <c r="BL164" i="13"/>
  <c r="AU164" i="13"/>
  <c r="BQ164" i="13"/>
  <c r="BG164" i="13"/>
  <c r="R255" i="13"/>
  <c r="L255" i="13"/>
  <c r="X255" i="13"/>
  <c r="E255" i="13"/>
  <c r="I255" i="13"/>
  <c r="V255" i="13"/>
  <c r="B255" i="13"/>
  <c r="A166" i="13"/>
  <c r="AS165" i="13"/>
  <c r="U255" i="13"/>
  <c r="F255" i="13"/>
  <c r="K255" i="13"/>
  <c r="P255" i="13"/>
  <c r="Q255" i="13"/>
  <c r="G255" i="13"/>
  <c r="H255" i="13"/>
  <c r="D255" i="13"/>
  <c r="O255" i="13"/>
  <c r="Y255" i="13"/>
  <c r="S255" i="13"/>
  <c r="J255" i="13"/>
  <c r="M255" i="13"/>
  <c r="T255" i="13"/>
  <c r="W255" i="13"/>
  <c r="BS165" i="13" l="1"/>
  <c r="BT165" i="13"/>
  <c r="BR165" i="13"/>
  <c r="AB266" i="13"/>
  <c r="AW69" i="13"/>
  <c r="Z266" i="13"/>
  <c r="AU69" i="13"/>
  <c r="AA266" i="13"/>
  <c r="AV69" i="13"/>
  <c r="BZ165" i="13"/>
  <c r="CC165" i="13"/>
  <c r="CB165" i="13"/>
  <c r="CA165" i="13"/>
  <c r="CD165" i="13"/>
  <c r="CJ165" i="13"/>
  <c r="BW165" i="13"/>
  <c r="BY165" i="13"/>
  <c r="CI165" i="13"/>
  <c r="BU165" i="13"/>
  <c r="CE165" i="13"/>
  <c r="CH165" i="13"/>
  <c r="CG165" i="13"/>
  <c r="BX165" i="13"/>
  <c r="CF165" i="13"/>
  <c r="BV165" i="13"/>
  <c r="T256" i="13"/>
  <c r="AA68" i="13"/>
  <c r="BR68" i="13" s="1"/>
  <c r="J256" i="13"/>
  <c r="Q68" i="13"/>
  <c r="BH68" i="13" s="1"/>
  <c r="D256" i="13"/>
  <c r="K68" i="13"/>
  <c r="BB68" i="13" s="1"/>
  <c r="G256" i="13"/>
  <c r="N68" i="13"/>
  <c r="BE68" i="13" s="1"/>
  <c r="F256" i="13"/>
  <c r="M68" i="13"/>
  <c r="BD68" i="13" s="1"/>
  <c r="A167" i="13"/>
  <c r="AS166" i="13"/>
  <c r="E256" i="13"/>
  <c r="L68" i="13"/>
  <c r="BC68" i="13" s="1"/>
  <c r="L256" i="13"/>
  <c r="S68" i="13"/>
  <c r="BJ68" i="13" s="1"/>
  <c r="N256" i="13"/>
  <c r="U68" i="13"/>
  <c r="BL68" i="13" s="1"/>
  <c r="BE165" i="13"/>
  <c r="AT165" i="13"/>
  <c r="BQ165" i="13"/>
  <c r="BL165" i="13"/>
  <c r="AW165" i="13"/>
  <c r="BC165" i="13"/>
  <c r="BN165" i="13"/>
  <c r="BM165" i="13"/>
  <c r="BD165" i="13"/>
  <c r="AY165" i="13"/>
  <c r="BI165" i="13"/>
  <c r="BH165" i="13"/>
  <c r="AZ165" i="13"/>
  <c r="BG165" i="13"/>
  <c r="BP165" i="13"/>
  <c r="BJ165" i="13"/>
  <c r="BK165" i="13"/>
  <c r="BA165" i="13"/>
  <c r="AU165" i="13"/>
  <c r="BB165" i="13"/>
  <c r="BO165" i="13"/>
  <c r="AV165" i="13"/>
  <c r="BF165" i="13"/>
  <c r="AX165" i="13"/>
  <c r="Y256" i="13"/>
  <c r="AY68" i="13"/>
  <c r="CP68" i="13" s="1"/>
  <c r="P256" i="13"/>
  <c r="W68" i="13"/>
  <c r="BN68" i="13" s="1"/>
  <c r="V256" i="13"/>
  <c r="AC68" i="13"/>
  <c r="BT68" i="13" s="1"/>
  <c r="AD68" i="13"/>
  <c r="BU68" i="13" s="1"/>
  <c r="W256" i="13"/>
  <c r="M256" i="13"/>
  <c r="T68" i="13"/>
  <c r="BK68" i="13" s="1"/>
  <c r="S256" i="13"/>
  <c r="Z68" i="13"/>
  <c r="BQ68" i="13" s="1"/>
  <c r="O256" i="13"/>
  <c r="V68" i="13"/>
  <c r="BM68" i="13" s="1"/>
  <c r="H256" i="13"/>
  <c r="O68" i="13"/>
  <c r="BF68" i="13" s="1"/>
  <c r="Q256" i="13"/>
  <c r="X68" i="13"/>
  <c r="BO68" i="13" s="1"/>
  <c r="K256" i="13"/>
  <c r="R68" i="13"/>
  <c r="BI68" i="13" s="1"/>
  <c r="U256" i="13"/>
  <c r="AB68" i="13"/>
  <c r="BS68" i="13" s="1"/>
  <c r="B256" i="13"/>
  <c r="I68" i="13"/>
  <c r="AZ68" i="13" s="1"/>
  <c r="I256" i="13"/>
  <c r="P68" i="13"/>
  <c r="BG68" i="13" s="1"/>
  <c r="X256" i="13"/>
  <c r="AE68" i="13"/>
  <c r="BV68" i="13" s="1"/>
  <c r="R256" i="13"/>
  <c r="Y68" i="13"/>
  <c r="BP68" i="13" s="1"/>
  <c r="C256" i="13"/>
  <c r="J68" i="13"/>
  <c r="BA68" i="13" s="1"/>
  <c r="BT166" i="13" l="1"/>
  <c r="BS166" i="13"/>
  <c r="BR166" i="13"/>
  <c r="AB267" i="13"/>
  <c r="Z267" i="13"/>
  <c r="AA267" i="13"/>
  <c r="CC166" i="13"/>
  <c r="BZ166" i="13"/>
  <c r="CB166" i="13"/>
  <c r="CA166" i="13"/>
  <c r="CD166" i="13"/>
  <c r="CE166" i="13"/>
  <c r="BX166" i="13"/>
  <c r="CG166" i="13"/>
  <c r="BW166" i="13"/>
  <c r="BU166" i="13"/>
  <c r="CF166" i="13"/>
  <c r="CH166" i="13"/>
  <c r="BV166" i="13"/>
  <c r="CI166" i="13"/>
  <c r="BY166" i="13"/>
  <c r="CJ166" i="13"/>
  <c r="CR68" i="13"/>
  <c r="EK68" i="13"/>
  <c r="CR57" i="13"/>
  <c r="CR58" i="13"/>
  <c r="CR52" i="13"/>
  <c r="CR61" i="13"/>
  <c r="CR51" i="13"/>
  <c r="CR54" i="13"/>
  <c r="CQ81" i="13"/>
  <c r="CR59" i="13"/>
  <c r="CR60" i="13"/>
  <c r="CR55" i="13"/>
  <c r="CR56" i="13"/>
  <c r="CR53" i="13"/>
  <c r="CR62" i="13"/>
  <c r="CR63" i="13"/>
  <c r="CR67" i="13"/>
  <c r="CR66" i="13"/>
  <c r="CR64" i="13"/>
  <c r="CR65" i="13"/>
  <c r="DP68" i="13"/>
  <c r="BV81" i="13"/>
  <c r="I257" i="13"/>
  <c r="DK68" i="13"/>
  <c r="BQ81" i="13"/>
  <c r="DH68" i="13"/>
  <c r="BN81" i="13"/>
  <c r="Y257" i="13"/>
  <c r="CW68" i="13"/>
  <c r="BC81" i="13"/>
  <c r="A168" i="13"/>
  <c r="AS167" i="13"/>
  <c r="CY68" i="13"/>
  <c r="BE81" i="13"/>
  <c r="D257" i="13"/>
  <c r="DJ68" i="13"/>
  <c r="BP81" i="13"/>
  <c r="X257" i="13"/>
  <c r="DM68" i="13"/>
  <c r="BS81" i="13"/>
  <c r="K257" i="13"/>
  <c r="DG68" i="13"/>
  <c r="BM81" i="13"/>
  <c r="S257" i="13"/>
  <c r="DN68" i="13"/>
  <c r="BT81" i="13"/>
  <c r="P257" i="13"/>
  <c r="DD68" i="13"/>
  <c r="BJ81" i="13"/>
  <c r="E257" i="13"/>
  <c r="CX68" i="13"/>
  <c r="BD81" i="13"/>
  <c r="G257" i="13"/>
  <c r="DL68" i="13"/>
  <c r="BR81" i="13"/>
  <c r="CU68" i="13"/>
  <c r="BA81" i="13"/>
  <c r="R257" i="13"/>
  <c r="CT68" i="13"/>
  <c r="AZ81" i="13"/>
  <c r="U257" i="13"/>
  <c r="CZ68" i="13"/>
  <c r="BF81" i="13"/>
  <c r="O257" i="13"/>
  <c r="W257" i="13"/>
  <c r="V257" i="13"/>
  <c r="DF68" i="13"/>
  <c r="BL81" i="13"/>
  <c r="L257" i="13"/>
  <c r="F257" i="13"/>
  <c r="DB68" i="13"/>
  <c r="BH81" i="13"/>
  <c r="T257" i="13"/>
  <c r="DC68" i="13"/>
  <c r="BI81" i="13"/>
  <c r="Q257" i="13"/>
  <c r="M257" i="13"/>
  <c r="C257" i="13"/>
  <c r="DA68" i="13"/>
  <c r="BG81" i="13"/>
  <c r="B257" i="13"/>
  <c r="DI68" i="13"/>
  <c r="BO81" i="13"/>
  <c r="H257" i="13"/>
  <c r="DE68" i="13"/>
  <c r="BK81" i="13"/>
  <c r="DO68" i="13"/>
  <c r="BU81" i="13"/>
  <c r="EJ68" i="13"/>
  <c r="CP81" i="13"/>
  <c r="N257" i="13"/>
  <c r="BP166" i="13"/>
  <c r="BC166" i="13"/>
  <c r="AX166" i="13"/>
  <c r="BA166" i="13"/>
  <c r="BO166" i="13"/>
  <c r="BM166" i="13"/>
  <c r="BJ166" i="13"/>
  <c r="AW166" i="13"/>
  <c r="AZ166" i="13"/>
  <c r="BQ166" i="13"/>
  <c r="BE166" i="13"/>
  <c r="AV166" i="13"/>
  <c r="BK166" i="13"/>
  <c r="BN166" i="13"/>
  <c r="BF166" i="13"/>
  <c r="AU166" i="13"/>
  <c r="BI166" i="13"/>
  <c r="BL166" i="13"/>
  <c r="BH166" i="13"/>
  <c r="AT166" i="13"/>
  <c r="BG166" i="13"/>
  <c r="AY166" i="13"/>
  <c r="BB166" i="13"/>
  <c r="BD166" i="13"/>
  <c r="CV68" i="13"/>
  <c r="BB81" i="13"/>
  <c r="J257" i="13"/>
  <c r="CM82" i="13" l="1"/>
  <c r="Q35" i="11" s="1"/>
  <c r="CL82" i="13"/>
  <c r="Q34" i="11" s="1"/>
  <c r="CN82" i="13"/>
  <c r="Q36" i="11" s="1"/>
  <c r="AA268" i="13"/>
  <c r="AB268" i="13"/>
  <c r="Z268" i="13"/>
  <c r="BS167" i="13"/>
  <c r="BT167" i="13"/>
  <c r="BR167" i="13"/>
  <c r="BB82" i="13"/>
  <c r="Z25" i="11" s="1"/>
  <c r="BA82" i="13"/>
  <c r="Z24" i="11" s="1"/>
  <c r="BJ82" i="13"/>
  <c r="BP82" i="13"/>
  <c r="Q27" i="11" s="1"/>
  <c r="BQ82" i="13"/>
  <c r="Q28" i="11" s="1"/>
  <c r="BY82" i="13"/>
  <c r="Q7" i="11" s="1"/>
  <c r="R7" i="11" s="1"/>
  <c r="CC82" i="13"/>
  <c r="Q11" i="11" s="1"/>
  <c r="R11" i="11" s="1"/>
  <c r="CG82" i="13"/>
  <c r="Q15" i="11" s="1"/>
  <c r="R15" i="11" s="1"/>
  <c r="CK82" i="13"/>
  <c r="Q19" i="11" s="1"/>
  <c r="R19" i="11" s="1"/>
  <c r="BZ82" i="13"/>
  <c r="Q8" i="11" s="1"/>
  <c r="R8" i="11" s="1"/>
  <c r="CH82" i="13"/>
  <c r="Q16" i="11" s="1"/>
  <c r="R16" i="11" s="1"/>
  <c r="BW82" i="13"/>
  <c r="Q5" i="11" s="1"/>
  <c r="R5" i="11" s="1"/>
  <c r="CA82" i="13"/>
  <c r="Q9" i="11" s="1"/>
  <c r="R9" i="11" s="1"/>
  <c r="CE82" i="13"/>
  <c r="Q13" i="11" s="1"/>
  <c r="R13" i="11" s="1"/>
  <c r="CI82" i="13"/>
  <c r="Q17" i="11" s="1"/>
  <c r="R17" i="11" s="1"/>
  <c r="BX82" i="13"/>
  <c r="Q6" i="11" s="1"/>
  <c r="R6" i="11" s="1"/>
  <c r="CB82" i="13"/>
  <c r="Q10" i="11" s="1"/>
  <c r="R10" i="11" s="1"/>
  <c r="CF82" i="13"/>
  <c r="Q14" i="11" s="1"/>
  <c r="R14" i="11" s="1"/>
  <c r="CJ82" i="13"/>
  <c r="Q18" i="11" s="1"/>
  <c r="R18" i="11" s="1"/>
  <c r="CD82" i="13"/>
  <c r="Q12" i="11" s="1"/>
  <c r="R12" i="11" s="1"/>
  <c r="CO82" i="13"/>
  <c r="Z30" i="11" s="1"/>
  <c r="AA30" i="11" s="1"/>
  <c r="CS67" i="13"/>
  <c r="BZ167" i="13"/>
  <c r="CC167" i="13"/>
  <c r="CA167" i="13"/>
  <c r="CB167" i="13"/>
  <c r="CP82" i="13"/>
  <c r="Z31" i="11" s="1"/>
  <c r="BK82" i="13"/>
  <c r="BT82" i="13"/>
  <c r="Q31" i="11" s="1"/>
  <c r="BE82" i="13"/>
  <c r="Z28" i="11" s="1"/>
  <c r="BC82" i="13"/>
  <c r="Z26" i="11" s="1"/>
  <c r="BV82" i="13"/>
  <c r="Q33" i="11" s="1"/>
  <c r="CS66" i="13"/>
  <c r="CS53" i="13"/>
  <c r="CS59" i="13"/>
  <c r="CS61" i="13"/>
  <c r="CD167" i="13"/>
  <c r="CH167" i="13"/>
  <c r="BW167" i="13"/>
  <c r="CE167" i="13"/>
  <c r="CJ167" i="13"/>
  <c r="CI167" i="13"/>
  <c r="BY167" i="13"/>
  <c r="BU167" i="13"/>
  <c r="BV167" i="13"/>
  <c r="CF167" i="13"/>
  <c r="CG167" i="13"/>
  <c r="BX167" i="13"/>
  <c r="CS56" i="13"/>
  <c r="CS76" i="13"/>
  <c r="CS72" i="13"/>
  <c r="CS78" i="13"/>
  <c r="CS75" i="13"/>
  <c r="CS71" i="13"/>
  <c r="CS79" i="13"/>
  <c r="CS73" i="13"/>
  <c r="CS80" i="13"/>
  <c r="CS74" i="13"/>
  <c r="CS69" i="13"/>
  <c r="CS70" i="13"/>
  <c r="CS77" i="13"/>
  <c r="CS52" i="13"/>
  <c r="CS68" i="13"/>
  <c r="BU82" i="13"/>
  <c r="Q32" i="11" s="1"/>
  <c r="BG82" i="13"/>
  <c r="BH82" i="13"/>
  <c r="BL82" i="13"/>
  <c r="Q23" i="11" s="1"/>
  <c r="AZ82" i="13"/>
  <c r="Z23" i="11" s="1"/>
  <c r="BD82" i="13"/>
  <c r="Z27" i="11" s="1"/>
  <c r="BS82" i="13"/>
  <c r="Q30" i="11" s="1"/>
  <c r="CS65" i="13"/>
  <c r="CS63" i="13"/>
  <c r="CS55" i="13"/>
  <c r="CS54" i="13"/>
  <c r="CS58" i="13"/>
  <c r="BO82" i="13"/>
  <c r="Q26" i="11" s="1"/>
  <c r="BI82" i="13"/>
  <c r="BF82" i="13"/>
  <c r="Z29" i="11" s="1"/>
  <c r="BR82" i="13"/>
  <c r="Q29" i="11" s="1"/>
  <c r="BM82" i="13"/>
  <c r="Q24" i="11" s="1"/>
  <c r="BN82" i="13"/>
  <c r="Q25" i="11" s="1"/>
  <c r="CS64" i="13"/>
  <c r="CS62" i="13"/>
  <c r="CS60" i="13"/>
  <c r="CS51" i="13"/>
  <c r="CS57" i="13"/>
  <c r="M258" i="13"/>
  <c r="U258" i="13"/>
  <c r="BL167" i="13"/>
  <c r="BB167" i="13"/>
  <c r="AT167" i="13"/>
  <c r="AU167" i="13"/>
  <c r="BK167" i="13"/>
  <c r="BE167" i="13"/>
  <c r="AY167" i="13"/>
  <c r="BJ167" i="13"/>
  <c r="BI167" i="13"/>
  <c r="BC167" i="13"/>
  <c r="BD167" i="13"/>
  <c r="BM167" i="13"/>
  <c r="BN167" i="13"/>
  <c r="AV167" i="13"/>
  <c r="BQ167" i="13"/>
  <c r="AX167" i="13"/>
  <c r="BP167" i="13"/>
  <c r="BG167" i="13"/>
  <c r="BO167" i="13"/>
  <c r="BH167" i="13"/>
  <c r="BA167" i="13"/>
  <c r="AW167" i="13"/>
  <c r="BF167" i="13"/>
  <c r="AZ167" i="13"/>
  <c r="L258" i="13"/>
  <c r="V258" i="13"/>
  <c r="O258" i="13"/>
  <c r="R258" i="13"/>
  <c r="I258" i="13"/>
  <c r="J258" i="13"/>
  <c r="N258" i="13"/>
  <c r="H258" i="13"/>
  <c r="B258" i="13"/>
  <c r="C258" i="13"/>
  <c r="Q258" i="13"/>
  <c r="T258" i="13"/>
  <c r="F258" i="13"/>
  <c r="W258" i="13"/>
  <c r="G258" i="13"/>
  <c r="E258" i="13"/>
  <c r="P258" i="13"/>
  <c r="S258" i="13"/>
  <c r="K258" i="13"/>
  <c r="X258" i="13"/>
  <c r="D258" i="13"/>
  <c r="A169" i="13"/>
  <c r="AS168" i="13"/>
  <c r="Y258" i="13"/>
  <c r="BR168" i="13" l="1"/>
  <c r="BT168" i="13"/>
  <c r="BS168" i="13"/>
  <c r="AB269" i="13"/>
  <c r="Z269" i="13"/>
  <c r="AA269" i="13"/>
  <c r="CA168" i="13"/>
  <c r="CB168" i="13"/>
  <c r="CC168" i="13"/>
  <c r="BZ168" i="13"/>
  <c r="CD168" i="13"/>
  <c r="CE168" i="13"/>
  <c r="BW168" i="13"/>
  <c r="BU168" i="13"/>
  <c r="CI168" i="13"/>
  <c r="CG168" i="13"/>
  <c r="BX168" i="13"/>
  <c r="BY168" i="13"/>
  <c r="BV168" i="13"/>
  <c r="CF168" i="13"/>
  <c r="CJ168" i="13"/>
  <c r="CH168" i="13"/>
  <c r="A170" i="13"/>
  <c r="AS169" i="13"/>
  <c r="X259" i="13"/>
  <c r="S259" i="13"/>
  <c r="E259" i="13"/>
  <c r="T259" i="13"/>
  <c r="H259" i="13"/>
  <c r="I259" i="13"/>
  <c r="AW168" i="13"/>
  <c r="AX168" i="13"/>
  <c r="BL168" i="13"/>
  <c r="BH168" i="13"/>
  <c r="AV168" i="13"/>
  <c r="BJ168" i="13"/>
  <c r="AZ168" i="13"/>
  <c r="AU168" i="13"/>
  <c r="BK168" i="13"/>
  <c r="BF168" i="13"/>
  <c r="AT168" i="13"/>
  <c r="BB168" i="13"/>
  <c r="BA168" i="13"/>
  <c r="BO168" i="13"/>
  <c r="BP168" i="13"/>
  <c r="BN168" i="13"/>
  <c r="BM168" i="13"/>
  <c r="BD168" i="13"/>
  <c r="BC168" i="13"/>
  <c r="AY168" i="13"/>
  <c r="BE168" i="13"/>
  <c r="BG168" i="13"/>
  <c r="BQ168" i="13"/>
  <c r="BI168" i="13"/>
  <c r="C259" i="13"/>
  <c r="N259" i="13"/>
  <c r="R259" i="13"/>
  <c r="V259" i="13"/>
  <c r="Y259" i="13"/>
  <c r="D259" i="13"/>
  <c r="K259" i="13"/>
  <c r="P259" i="13"/>
  <c r="G259" i="13"/>
  <c r="W259" i="13"/>
  <c r="F259" i="13"/>
  <c r="Q259" i="13"/>
  <c r="B259" i="13"/>
  <c r="J259" i="13"/>
  <c r="O259" i="13"/>
  <c r="L259" i="13"/>
  <c r="U259" i="13"/>
  <c r="M259" i="13"/>
  <c r="AA270" i="13" l="1"/>
  <c r="AB270" i="13"/>
  <c r="Z270" i="13"/>
  <c r="BR169" i="13"/>
  <c r="BT169" i="13"/>
  <c r="BS169" i="13"/>
  <c r="BZ169" i="13"/>
  <c r="CC169" i="13"/>
  <c r="CA169" i="13"/>
  <c r="CB169" i="13"/>
  <c r="CD169" i="13"/>
  <c r="CE169" i="13"/>
  <c r="CJ169" i="13"/>
  <c r="CI169" i="13"/>
  <c r="CG169" i="13"/>
  <c r="BW169" i="13"/>
  <c r="BY169" i="13"/>
  <c r="CH169" i="13"/>
  <c r="BX169" i="13"/>
  <c r="CF169" i="13"/>
  <c r="BU169" i="13"/>
  <c r="BV169" i="13"/>
  <c r="O260" i="13"/>
  <c r="F260" i="13"/>
  <c r="G260" i="13"/>
  <c r="Y260" i="13"/>
  <c r="R260" i="13"/>
  <c r="C260" i="13"/>
  <c r="H260" i="13"/>
  <c r="X260" i="13"/>
  <c r="BH169" i="13"/>
  <c r="BE169" i="13"/>
  <c r="AY169" i="13"/>
  <c r="BC169" i="13"/>
  <c r="BN169" i="13"/>
  <c r="BA169" i="13"/>
  <c r="BB169" i="13"/>
  <c r="BF169" i="13"/>
  <c r="BK169" i="13"/>
  <c r="AU169" i="13"/>
  <c r="AZ169" i="13"/>
  <c r="BL169" i="13"/>
  <c r="BD169" i="13"/>
  <c r="BJ169" i="13"/>
  <c r="AX169" i="13"/>
  <c r="AV169" i="13"/>
  <c r="BG169" i="13"/>
  <c r="BM169" i="13"/>
  <c r="BP169" i="13"/>
  <c r="BO169" i="13"/>
  <c r="AT169" i="13"/>
  <c r="BI169" i="13"/>
  <c r="BQ169" i="13"/>
  <c r="AW169" i="13"/>
  <c r="U260" i="13"/>
  <c r="B260" i="13"/>
  <c r="K260" i="13"/>
  <c r="E260" i="13"/>
  <c r="M260" i="13"/>
  <c r="L260" i="13"/>
  <c r="J260" i="13"/>
  <c r="Q260" i="13"/>
  <c r="W260" i="13"/>
  <c r="P260" i="13"/>
  <c r="D260" i="13"/>
  <c r="V260" i="13"/>
  <c r="N260" i="13"/>
  <c r="I260" i="13"/>
  <c r="T260" i="13"/>
  <c r="S260" i="13"/>
  <c r="A171" i="13"/>
  <c r="AS170" i="13"/>
  <c r="BS170" i="13" l="1"/>
  <c r="BT170" i="13"/>
  <c r="BR170" i="13"/>
  <c r="AB271" i="13"/>
  <c r="Z271" i="13"/>
  <c r="AA271" i="13"/>
  <c r="CA170" i="13"/>
  <c r="CC170" i="13"/>
  <c r="CB170" i="13"/>
  <c r="BZ170" i="13"/>
  <c r="CD170" i="13"/>
  <c r="BU170" i="13"/>
  <c r="BX170" i="13"/>
  <c r="CH170" i="13"/>
  <c r="CF170" i="13"/>
  <c r="BY170" i="13"/>
  <c r="CI170" i="13"/>
  <c r="CJ170" i="13"/>
  <c r="BW170" i="13"/>
  <c r="CG170" i="13"/>
  <c r="BV170" i="13"/>
  <c r="CE170" i="13"/>
  <c r="I261" i="13"/>
  <c r="P261" i="13"/>
  <c r="Q261" i="13"/>
  <c r="E261" i="13"/>
  <c r="B261" i="13"/>
  <c r="BJ170" i="13"/>
  <c r="AW170" i="13"/>
  <c r="BQ170" i="13"/>
  <c r="BA170" i="13"/>
  <c r="AT170" i="13"/>
  <c r="BL170" i="13"/>
  <c r="BB170" i="13"/>
  <c r="AU170" i="13"/>
  <c r="BF170" i="13"/>
  <c r="BC170" i="13"/>
  <c r="AY170" i="13"/>
  <c r="BH170" i="13"/>
  <c r="BP170" i="13"/>
  <c r="BM170" i="13"/>
  <c r="BG170" i="13"/>
  <c r="AZ170" i="13"/>
  <c r="BK170" i="13"/>
  <c r="BI170" i="13"/>
  <c r="AX170" i="13"/>
  <c r="BE170" i="13"/>
  <c r="BO170" i="13"/>
  <c r="BD170" i="13"/>
  <c r="AV170" i="13"/>
  <c r="BN170" i="13"/>
  <c r="S261" i="13"/>
  <c r="V261" i="13"/>
  <c r="L261" i="13"/>
  <c r="X261" i="13"/>
  <c r="C261" i="13"/>
  <c r="Y261" i="13"/>
  <c r="F261" i="13"/>
  <c r="A172" i="13"/>
  <c r="AS171" i="13"/>
  <c r="T261" i="13"/>
  <c r="N261" i="13"/>
  <c r="D261" i="13"/>
  <c r="W261" i="13"/>
  <c r="J261" i="13"/>
  <c r="M261" i="13"/>
  <c r="K261" i="13"/>
  <c r="U261" i="13"/>
  <c r="H261" i="13"/>
  <c r="R261" i="13"/>
  <c r="G261" i="13"/>
  <c r="O261" i="13"/>
  <c r="AA272" i="13" l="1"/>
  <c r="AB272" i="13"/>
  <c r="BS171" i="13"/>
  <c r="BT171" i="13"/>
  <c r="BR171" i="13"/>
  <c r="Z272" i="13"/>
  <c r="CA171" i="13"/>
  <c r="BZ171" i="13"/>
  <c r="CB171" i="13"/>
  <c r="CC171" i="13"/>
  <c r="CD171" i="13"/>
  <c r="CE171" i="13"/>
  <c r="BX171" i="13"/>
  <c r="CJ171" i="13"/>
  <c r="BY171" i="13"/>
  <c r="CI171" i="13"/>
  <c r="BW171" i="13"/>
  <c r="BV171" i="13"/>
  <c r="CG171" i="13"/>
  <c r="CH171" i="13"/>
  <c r="BU171" i="13"/>
  <c r="CF171" i="13"/>
  <c r="G262" i="13"/>
  <c r="K262" i="13"/>
  <c r="D262" i="13"/>
  <c r="F262" i="13"/>
  <c r="P262" i="13"/>
  <c r="BN171" i="13"/>
  <c r="AV171" i="13"/>
  <c r="BE171" i="13"/>
  <c r="BK171" i="13"/>
  <c r="AY171" i="13"/>
  <c r="AU171" i="13"/>
  <c r="AX171" i="13"/>
  <c r="AZ171" i="13"/>
  <c r="BG171" i="13"/>
  <c r="BH171" i="13"/>
  <c r="BF171" i="13"/>
  <c r="AT171" i="13"/>
  <c r="BM171" i="13"/>
  <c r="BP171" i="13"/>
  <c r="BD171" i="13"/>
  <c r="BO171" i="13"/>
  <c r="BI171" i="13"/>
  <c r="AW171" i="13"/>
  <c r="BB171" i="13"/>
  <c r="BJ171" i="13"/>
  <c r="BL171" i="13"/>
  <c r="BC171" i="13"/>
  <c r="BA171" i="13"/>
  <c r="BQ171" i="13"/>
  <c r="H262" i="13"/>
  <c r="J262" i="13"/>
  <c r="T262" i="13"/>
  <c r="C262" i="13"/>
  <c r="L262" i="13"/>
  <c r="S262" i="13"/>
  <c r="E262" i="13"/>
  <c r="O262" i="13"/>
  <c r="R262" i="13"/>
  <c r="U262" i="13"/>
  <c r="M262" i="13"/>
  <c r="W262" i="13"/>
  <c r="N262" i="13"/>
  <c r="A173" i="13"/>
  <c r="AS172" i="13"/>
  <c r="Y262" i="13"/>
  <c r="X262" i="13"/>
  <c r="V262" i="13"/>
  <c r="B262" i="13"/>
  <c r="Q262" i="13"/>
  <c r="I262" i="13"/>
  <c r="Z273" i="13" l="1"/>
  <c r="AB273" i="13"/>
  <c r="BR172" i="13"/>
  <c r="BT172" i="13"/>
  <c r="BS172" i="13"/>
  <c r="AA273" i="13"/>
  <c r="CB172" i="13"/>
  <c r="BZ172" i="13"/>
  <c r="CA172" i="13"/>
  <c r="CC172" i="13"/>
  <c r="CD172" i="13"/>
  <c r="CJ172" i="13"/>
  <c r="BY172" i="13"/>
  <c r="BU172" i="13"/>
  <c r="CF172" i="13"/>
  <c r="BX172" i="13"/>
  <c r="BW172" i="13"/>
  <c r="CH172" i="13"/>
  <c r="CG172" i="13"/>
  <c r="CE172" i="13"/>
  <c r="BV172" i="13"/>
  <c r="CI172" i="13"/>
  <c r="Q263" i="13"/>
  <c r="Y263" i="13"/>
  <c r="R263" i="13"/>
  <c r="L263" i="13"/>
  <c r="F263" i="13"/>
  <c r="AZ172" i="13"/>
  <c r="AU172" i="13"/>
  <c r="BE172" i="13"/>
  <c r="BN172" i="13"/>
  <c r="BP172" i="13"/>
  <c r="AT172" i="13"/>
  <c r="BI172" i="13"/>
  <c r="BL172" i="13"/>
  <c r="BJ172" i="13"/>
  <c r="BB172" i="13"/>
  <c r="AY172" i="13"/>
  <c r="AW172" i="13"/>
  <c r="BO172" i="13"/>
  <c r="BD172" i="13"/>
  <c r="BK172" i="13"/>
  <c r="AV172" i="13"/>
  <c r="BM172" i="13"/>
  <c r="BQ172" i="13"/>
  <c r="BA172" i="13"/>
  <c r="BF172" i="13"/>
  <c r="BH172" i="13"/>
  <c r="BG172" i="13"/>
  <c r="AX172" i="13"/>
  <c r="BC172" i="13"/>
  <c r="V263" i="13"/>
  <c r="N263" i="13"/>
  <c r="M263" i="13"/>
  <c r="E263" i="13"/>
  <c r="T263" i="13"/>
  <c r="H263" i="13"/>
  <c r="K263" i="13"/>
  <c r="I263" i="13"/>
  <c r="B263" i="13"/>
  <c r="X263" i="13"/>
  <c r="A174" i="13"/>
  <c r="AS173" i="13"/>
  <c r="W263" i="13"/>
  <c r="U263" i="13"/>
  <c r="O263" i="13"/>
  <c r="S263" i="13"/>
  <c r="C263" i="13"/>
  <c r="J263" i="13"/>
  <c r="P263" i="13"/>
  <c r="D263" i="13"/>
  <c r="G263" i="13"/>
  <c r="AA274" i="13" l="1"/>
  <c r="AB274" i="13"/>
  <c r="BR173" i="13"/>
  <c r="BT173" i="13"/>
  <c r="BS173" i="13"/>
  <c r="Z274" i="13"/>
  <c r="CA173" i="13"/>
  <c r="CB173" i="13"/>
  <c r="CC173" i="13"/>
  <c r="BZ173" i="13"/>
  <c r="CD173" i="13"/>
  <c r="BY173" i="13"/>
  <c r="BU173" i="13"/>
  <c r="CH173" i="13"/>
  <c r="BW173" i="13"/>
  <c r="CJ173" i="13"/>
  <c r="BX173" i="13"/>
  <c r="CG173" i="13"/>
  <c r="CF173" i="13"/>
  <c r="CI173" i="13"/>
  <c r="CE173" i="13"/>
  <c r="BV173" i="13"/>
  <c r="BI173" i="13"/>
  <c r="AW173" i="13"/>
  <c r="BB173" i="13"/>
  <c r="BG173" i="13"/>
  <c r="BH173" i="13"/>
  <c r="BM173" i="13"/>
  <c r="BD173" i="13"/>
  <c r="BK173" i="13"/>
  <c r="BO173" i="13"/>
  <c r="BL173" i="13"/>
  <c r="BC173" i="13"/>
  <c r="AV173" i="13"/>
  <c r="AT173" i="13"/>
  <c r="AY173" i="13"/>
  <c r="AX173" i="13"/>
  <c r="AU173" i="13"/>
  <c r="BF173" i="13"/>
  <c r="BP173" i="13"/>
  <c r="BE173" i="13"/>
  <c r="BJ173" i="13"/>
  <c r="AZ173" i="13"/>
  <c r="BA173" i="13"/>
  <c r="BN173" i="13"/>
  <c r="BQ173" i="13"/>
  <c r="J264" i="13"/>
  <c r="U264" i="13"/>
  <c r="K264" i="13"/>
  <c r="L264" i="13"/>
  <c r="D264" i="13"/>
  <c r="S264" i="13"/>
  <c r="A175" i="13"/>
  <c r="AS174" i="13"/>
  <c r="B264" i="13"/>
  <c r="T264" i="13"/>
  <c r="M264" i="13"/>
  <c r="V264" i="13"/>
  <c r="Y264" i="13"/>
  <c r="G264" i="13"/>
  <c r="P264" i="13"/>
  <c r="C264" i="13"/>
  <c r="O264" i="13"/>
  <c r="W264" i="13"/>
  <c r="X264" i="13"/>
  <c r="I264" i="13"/>
  <c r="H264" i="13"/>
  <c r="E264" i="13"/>
  <c r="N264" i="13"/>
  <c r="F264" i="13"/>
  <c r="R264" i="13"/>
  <c r="Q264" i="13"/>
  <c r="Z275" i="13" l="1"/>
  <c r="AB275" i="13"/>
  <c r="BR174" i="13"/>
  <c r="BS174" i="13"/>
  <c r="BT174" i="13"/>
  <c r="AA275" i="13"/>
  <c r="BZ174" i="13"/>
  <c r="CA174" i="13"/>
  <c r="CB174" i="13"/>
  <c r="CC174" i="13"/>
  <c r="CD174" i="13"/>
  <c r="BX174" i="13"/>
  <c r="BV174" i="13"/>
  <c r="CF174" i="13"/>
  <c r="CI174" i="13"/>
  <c r="CE174" i="13"/>
  <c r="CJ174" i="13"/>
  <c r="BY174" i="13"/>
  <c r="BU174" i="13"/>
  <c r="CH174" i="13"/>
  <c r="CG174" i="13"/>
  <c r="BW174" i="13"/>
  <c r="R265" i="13"/>
  <c r="N265" i="13"/>
  <c r="H265" i="13"/>
  <c r="X265" i="13"/>
  <c r="O265" i="13"/>
  <c r="P265" i="13"/>
  <c r="Y265" i="13"/>
  <c r="M265" i="13"/>
  <c r="B265" i="13"/>
  <c r="S265" i="13"/>
  <c r="L265" i="13"/>
  <c r="U265" i="13"/>
  <c r="BI174" i="13"/>
  <c r="BH174" i="13"/>
  <c r="BO174" i="13"/>
  <c r="AY174" i="13"/>
  <c r="AZ174" i="13"/>
  <c r="BB174" i="13"/>
  <c r="AW174" i="13"/>
  <c r="BL174" i="13"/>
  <c r="BA174" i="13"/>
  <c r="BD174" i="13"/>
  <c r="BQ174" i="13"/>
  <c r="BK174" i="13"/>
  <c r="AU174" i="13"/>
  <c r="BM174" i="13"/>
  <c r="BN174" i="13"/>
  <c r="AX174" i="13"/>
  <c r="AV174" i="13"/>
  <c r="BG174" i="13"/>
  <c r="BE174" i="13"/>
  <c r="BJ174" i="13"/>
  <c r="BP174" i="13"/>
  <c r="BC174" i="13"/>
  <c r="AT174" i="13"/>
  <c r="BF174" i="13"/>
  <c r="Q265" i="13"/>
  <c r="F265" i="13"/>
  <c r="E265" i="13"/>
  <c r="I265" i="13"/>
  <c r="W265" i="13"/>
  <c r="C265" i="13"/>
  <c r="G265" i="13"/>
  <c r="V265" i="13"/>
  <c r="T265" i="13"/>
  <c r="A176" i="13"/>
  <c r="AS175" i="13"/>
  <c r="D265" i="13"/>
  <c r="K265" i="13"/>
  <c r="J265" i="13"/>
  <c r="BR175" i="13" l="1"/>
  <c r="BS175" i="13"/>
  <c r="BT175" i="13"/>
  <c r="AA276" i="13"/>
  <c r="AV70" i="13"/>
  <c r="AB276" i="13"/>
  <c r="AW70" i="13"/>
  <c r="Z276" i="13"/>
  <c r="AU70" i="13"/>
  <c r="CA175" i="13"/>
  <c r="CB175" i="13"/>
  <c r="CC175" i="13"/>
  <c r="BZ175" i="13"/>
  <c r="CF175" i="13"/>
  <c r="CJ175" i="13"/>
  <c r="BY175" i="13"/>
  <c r="CD175" i="13"/>
  <c r="BU175" i="13"/>
  <c r="BV175" i="13"/>
  <c r="BX175" i="13"/>
  <c r="CG175" i="13"/>
  <c r="CE175" i="13"/>
  <c r="CI175" i="13"/>
  <c r="CH175" i="13"/>
  <c r="BW175" i="13"/>
  <c r="AU175" i="13"/>
  <c r="BL175" i="13"/>
  <c r="BE175" i="13"/>
  <c r="BC175" i="13"/>
  <c r="BJ175" i="13"/>
  <c r="BO175" i="13"/>
  <c r="AT175" i="13"/>
  <c r="BG175" i="13"/>
  <c r="BP175" i="13"/>
  <c r="BK175" i="13"/>
  <c r="AV175" i="13"/>
  <c r="BA175" i="13"/>
  <c r="BI175" i="13"/>
  <c r="BF175" i="13"/>
  <c r="BQ175" i="13"/>
  <c r="AY175" i="13"/>
  <c r="AZ175" i="13"/>
  <c r="BD175" i="13"/>
  <c r="AW175" i="13"/>
  <c r="AX175" i="13"/>
  <c r="BB175" i="13"/>
  <c r="BM175" i="13"/>
  <c r="BH175" i="13"/>
  <c r="BN175" i="13"/>
  <c r="K266" i="13"/>
  <c r="R69" i="13"/>
  <c r="A177" i="13"/>
  <c r="AS176" i="13"/>
  <c r="V266" i="13"/>
  <c r="AC69" i="13"/>
  <c r="C266" i="13"/>
  <c r="J69" i="13"/>
  <c r="I266" i="13"/>
  <c r="P69" i="13"/>
  <c r="F266" i="13"/>
  <c r="M69" i="13"/>
  <c r="U266" i="13"/>
  <c r="AB69" i="13"/>
  <c r="S266" i="13"/>
  <c r="Z69" i="13"/>
  <c r="M266" i="13"/>
  <c r="T69" i="13"/>
  <c r="P266" i="13"/>
  <c r="W69" i="13"/>
  <c r="X266" i="13"/>
  <c r="AE69" i="13"/>
  <c r="N266" i="13"/>
  <c r="U69" i="13"/>
  <c r="J266" i="13"/>
  <c r="Q69" i="13"/>
  <c r="D266" i="13"/>
  <c r="K69" i="13"/>
  <c r="T266" i="13"/>
  <c r="AA69" i="13"/>
  <c r="G266" i="13"/>
  <c r="N69" i="13"/>
  <c r="W266" i="13"/>
  <c r="AD69" i="13"/>
  <c r="E266" i="13"/>
  <c r="L69" i="13"/>
  <c r="Q266" i="13"/>
  <c r="X69" i="13"/>
  <c r="L266" i="13"/>
  <c r="S69" i="13"/>
  <c r="B266" i="13"/>
  <c r="I69" i="13"/>
  <c r="Y266" i="13"/>
  <c r="AY69" i="13"/>
  <c r="O266" i="13"/>
  <c r="V69" i="13"/>
  <c r="H266" i="13"/>
  <c r="O69" i="13"/>
  <c r="R266" i="13"/>
  <c r="Y69" i="13"/>
  <c r="BS176" i="13" l="1"/>
  <c r="BR176" i="13"/>
  <c r="BT176" i="13"/>
  <c r="AA277" i="13"/>
  <c r="AB277" i="13"/>
  <c r="Z277" i="13"/>
  <c r="CC176" i="13"/>
  <c r="CB176" i="13"/>
  <c r="BZ176" i="13"/>
  <c r="CA176" i="13"/>
  <c r="CF176" i="13"/>
  <c r="BW176" i="13"/>
  <c r="CE176" i="13"/>
  <c r="CJ176" i="13"/>
  <c r="CG176" i="13"/>
  <c r="CD176" i="13"/>
  <c r="CI176" i="13"/>
  <c r="BX176" i="13"/>
  <c r="BV176" i="13"/>
  <c r="BY176" i="13"/>
  <c r="CH176" i="13"/>
  <c r="BU176" i="13"/>
  <c r="Y267" i="13"/>
  <c r="E267" i="13"/>
  <c r="D267" i="13"/>
  <c r="P267" i="13"/>
  <c r="A178" i="13"/>
  <c r="AS177" i="13"/>
  <c r="O267" i="13"/>
  <c r="H267" i="13"/>
  <c r="L267" i="13"/>
  <c r="G267" i="13"/>
  <c r="N267" i="13"/>
  <c r="S267" i="13"/>
  <c r="C267" i="13"/>
  <c r="K267" i="13"/>
  <c r="F267" i="13"/>
  <c r="Q267" i="13"/>
  <c r="T267" i="13"/>
  <c r="X267" i="13"/>
  <c r="U267" i="13"/>
  <c r="V267" i="13"/>
  <c r="R267" i="13"/>
  <c r="B267" i="13"/>
  <c r="W267" i="13"/>
  <c r="J267" i="13"/>
  <c r="M267" i="13"/>
  <c r="I267" i="13"/>
  <c r="AT176" i="13"/>
  <c r="AU176" i="13"/>
  <c r="BJ176" i="13"/>
  <c r="BI176" i="13"/>
  <c r="BP176" i="13"/>
  <c r="AX176" i="13"/>
  <c r="BE176" i="13"/>
  <c r="BL176" i="13"/>
  <c r="BH176" i="13"/>
  <c r="AV176" i="13"/>
  <c r="AY176" i="13"/>
  <c r="BC176" i="13"/>
  <c r="BO176" i="13"/>
  <c r="BB176" i="13"/>
  <c r="BG176" i="13"/>
  <c r="BA176" i="13"/>
  <c r="BK176" i="13"/>
  <c r="AW176" i="13"/>
  <c r="AZ176" i="13"/>
  <c r="BM176" i="13"/>
  <c r="BQ176" i="13"/>
  <c r="BF176" i="13"/>
  <c r="BN176" i="13"/>
  <c r="BD176" i="13"/>
  <c r="BS177" i="13" l="1"/>
  <c r="BT177" i="13"/>
  <c r="BR177" i="13"/>
  <c r="Z278" i="13"/>
  <c r="AA278" i="13"/>
  <c r="AB278" i="13"/>
  <c r="CC177" i="13"/>
  <c r="BZ177" i="13"/>
  <c r="CA177" i="13"/>
  <c r="CB177" i="13"/>
  <c r="CF177" i="13"/>
  <c r="BV177" i="13"/>
  <c r="BU177" i="13"/>
  <c r="BY177" i="13"/>
  <c r="CI177" i="13"/>
  <c r="CJ177" i="13"/>
  <c r="CE177" i="13"/>
  <c r="BW177" i="13"/>
  <c r="BX177" i="13"/>
  <c r="CG177" i="13"/>
  <c r="CD177" i="13"/>
  <c r="CH177" i="13"/>
  <c r="M268" i="13"/>
  <c r="R268" i="13"/>
  <c r="U268" i="13"/>
  <c r="T268" i="13"/>
  <c r="F268" i="13"/>
  <c r="N268" i="13"/>
  <c r="L268" i="13"/>
  <c r="O268" i="13"/>
  <c r="P268" i="13"/>
  <c r="E268" i="13"/>
  <c r="BF177" i="13"/>
  <c r="BQ177" i="13"/>
  <c r="BI177" i="13"/>
  <c r="AW177" i="13"/>
  <c r="BB177" i="13"/>
  <c r="BD177" i="13"/>
  <c r="BN177" i="13"/>
  <c r="BP177" i="13"/>
  <c r="BM177" i="13"/>
  <c r="AZ177" i="13"/>
  <c r="BK177" i="13"/>
  <c r="BA177" i="13"/>
  <c r="BG177" i="13"/>
  <c r="BO177" i="13"/>
  <c r="BE177" i="13"/>
  <c r="BJ177" i="13"/>
  <c r="AU177" i="13"/>
  <c r="AT177" i="13"/>
  <c r="AY177" i="13"/>
  <c r="BL177" i="13"/>
  <c r="AX177" i="13"/>
  <c r="BC177" i="13"/>
  <c r="AV177" i="13"/>
  <c r="BH177" i="13"/>
  <c r="W268" i="13"/>
  <c r="C268" i="13"/>
  <c r="I268" i="13"/>
  <c r="J268" i="13"/>
  <c r="B268" i="13"/>
  <c r="V268" i="13"/>
  <c r="X268" i="13"/>
  <c r="Q268" i="13"/>
  <c r="K268" i="13"/>
  <c r="S268" i="13"/>
  <c r="G268" i="13"/>
  <c r="H268" i="13"/>
  <c r="A179" i="13"/>
  <c r="AS178" i="13"/>
  <c r="D268" i="13"/>
  <c r="Y268" i="13"/>
  <c r="AB279" i="13" l="1"/>
  <c r="Z279" i="13"/>
  <c r="AA279" i="13"/>
  <c r="BS178" i="13"/>
  <c r="BT178" i="13"/>
  <c r="BR178" i="13"/>
  <c r="CB178" i="13"/>
  <c r="BZ178" i="13"/>
  <c r="CC178" i="13"/>
  <c r="CA178" i="13"/>
  <c r="CF178" i="13"/>
  <c r="CI178" i="13"/>
  <c r="BY178" i="13"/>
  <c r="BX178" i="13"/>
  <c r="BV178" i="13"/>
  <c r="BU178" i="13"/>
  <c r="CJ178" i="13"/>
  <c r="CD178" i="13"/>
  <c r="BW178" i="13"/>
  <c r="CG178" i="13"/>
  <c r="CH178" i="13"/>
  <c r="CE178" i="13"/>
  <c r="D269" i="13"/>
  <c r="H269" i="13"/>
  <c r="S269" i="13"/>
  <c r="Q269" i="13"/>
  <c r="V269" i="13"/>
  <c r="J269" i="13"/>
  <c r="C269" i="13"/>
  <c r="E269" i="13"/>
  <c r="O269" i="13"/>
  <c r="N269" i="13"/>
  <c r="T269" i="13"/>
  <c r="R269" i="13"/>
  <c r="BA178" i="13"/>
  <c r="BP178" i="13"/>
  <c r="BD178" i="13"/>
  <c r="AV178" i="13"/>
  <c r="BL178" i="13"/>
  <c r="BJ178" i="13"/>
  <c r="BI178" i="13"/>
  <c r="BF178" i="13"/>
  <c r="BE178" i="13"/>
  <c r="BO178" i="13"/>
  <c r="BG178" i="13"/>
  <c r="BK178" i="13"/>
  <c r="AZ178" i="13"/>
  <c r="BB178" i="13"/>
  <c r="AW178" i="13"/>
  <c r="BQ178" i="13"/>
  <c r="BH178" i="13"/>
  <c r="BC178" i="13"/>
  <c r="AX178" i="13"/>
  <c r="AY178" i="13"/>
  <c r="AU178" i="13"/>
  <c r="BM178" i="13"/>
  <c r="BN178" i="13"/>
  <c r="AT178" i="13"/>
  <c r="Y269" i="13"/>
  <c r="A180" i="13"/>
  <c r="AS179" i="13"/>
  <c r="G269" i="13"/>
  <c r="K269" i="13"/>
  <c r="X269" i="13"/>
  <c r="B269" i="13"/>
  <c r="I269" i="13"/>
  <c r="W269" i="13"/>
  <c r="P269" i="13"/>
  <c r="L269" i="13"/>
  <c r="F269" i="13"/>
  <c r="U269" i="13"/>
  <c r="M269" i="13"/>
  <c r="BS179" i="13" l="1"/>
  <c r="BT179" i="13"/>
  <c r="BR179" i="13"/>
  <c r="Z280" i="13"/>
  <c r="AA280" i="13"/>
  <c r="AB280" i="13"/>
  <c r="CC179" i="13"/>
  <c r="BZ179" i="13"/>
  <c r="CB179" i="13"/>
  <c r="CA179" i="13"/>
  <c r="CF179" i="13"/>
  <c r="CD179" i="13"/>
  <c r="BW179" i="13"/>
  <c r="BX179" i="13"/>
  <c r="BV179" i="13"/>
  <c r="CI179" i="13"/>
  <c r="CH179" i="13"/>
  <c r="CE179" i="13"/>
  <c r="CJ179" i="13"/>
  <c r="CG179" i="13"/>
  <c r="BU179" i="13"/>
  <c r="BY179" i="13"/>
  <c r="U270" i="13"/>
  <c r="L270" i="13"/>
  <c r="W270" i="13"/>
  <c r="B270" i="13"/>
  <c r="K270" i="13"/>
  <c r="A181" i="13"/>
  <c r="AS180" i="13"/>
  <c r="R270" i="13"/>
  <c r="N270" i="13"/>
  <c r="E270" i="13"/>
  <c r="J270" i="13"/>
  <c r="Q270" i="13"/>
  <c r="H270" i="13"/>
  <c r="AU179" i="13"/>
  <c r="BH179" i="13"/>
  <c r="BE179" i="13"/>
  <c r="BF179" i="13"/>
  <c r="AT179" i="13"/>
  <c r="BD179" i="13"/>
  <c r="AY179" i="13"/>
  <c r="BQ179" i="13"/>
  <c r="BO179" i="13"/>
  <c r="BJ179" i="13"/>
  <c r="BN179" i="13"/>
  <c r="BM179" i="13"/>
  <c r="AW179" i="13"/>
  <c r="BB179" i="13"/>
  <c r="AZ179" i="13"/>
  <c r="BG179" i="13"/>
  <c r="BA179" i="13"/>
  <c r="AX179" i="13"/>
  <c r="BC179" i="13"/>
  <c r="BI179" i="13"/>
  <c r="BL179" i="13"/>
  <c r="AV179" i="13"/>
  <c r="BP179" i="13"/>
  <c r="BK179" i="13"/>
  <c r="M270" i="13"/>
  <c r="F270" i="13"/>
  <c r="P270" i="13"/>
  <c r="I270" i="13"/>
  <c r="X270" i="13"/>
  <c r="G270" i="13"/>
  <c r="Y270" i="13"/>
  <c r="T270" i="13"/>
  <c r="O270" i="13"/>
  <c r="C270" i="13"/>
  <c r="V270" i="13"/>
  <c r="S270" i="13"/>
  <c r="D270" i="13"/>
  <c r="BS180" i="13" l="1"/>
  <c r="BT180" i="13"/>
  <c r="BR180" i="13"/>
  <c r="AB281" i="13"/>
  <c r="Z281" i="13"/>
  <c r="AA281" i="13"/>
  <c r="CC180" i="13"/>
  <c r="CB180" i="13"/>
  <c r="BZ180" i="13"/>
  <c r="CA180" i="13"/>
  <c r="CF180" i="13"/>
  <c r="CE180" i="13"/>
  <c r="CG180" i="13"/>
  <c r="BV180" i="13"/>
  <c r="BY180" i="13"/>
  <c r="CD180" i="13"/>
  <c r="CH180" i="13"/>
  <c r="BX180" i="13"/>
  <c r="CJ180" i="13"/>
  <c r="CI180" i="13"/>
  <c r="BU180" i="13"/>
  <c r="BW180" i="13"/>
  <c r="BO180" i="13"/>
  <c r="BI180" i="13"/>
  <c r="AV180" i="13"/>
  <c r="BL180" i="13"/>
  <c r="BG180" i="13"/>
  <c r="BB180" i="13"/>
  <c r="BM180" i="13"/>
  <c r="BF180" i="13"/>
  <c r="AU180" i="13"/>
  <c r="BE180" i="13"/>
  <c r="BD180" i="13"/>
  <c r="AT180" i="13"/>
  <c r="AX180" i="13"/>
  <c r="BA180" i="13"/>
  <c r="BH180" i="13"/>
  <c r="BJ180" i="13"/>
  <c r="BK180" i="13"/>
  <c r="AY180" i="13"/>
  <c r="BQ180" i="13"/>
  <c r="AZ180" i="13"/>
  <c r="AW180" i="13"/>
  <c r="BN180" i="13"/>
  <c r="BP180" i="13"/>
  <c r="BC180" i="13"/>
  <c r="S271" i="13"/>
  <c r="T271" i="13"/>
  <c r="I271" i="13"/>
  <c r="H271" i="13"/>
  <c r="A182" i="13"/>
  <c r="AS181" i="13"/>
  <c r="B271" i="13"/>
  <c r="L271" i="13"/>
  <c r="C271" i="13"/>
  <c r="G271" i="13"/>
  <c r="F271" i="13"/>
  <c r="J271" i="13"/>
  <c r="N271" i="13"/>
  <c r="D271" i="13"/>
  <c r="V271" i="13"/>
  <c r="O271" i="13"/>
  <c r="Y271" i="13"/>
  <c r="X271" i="13"/>
  <c r="P271" i="13"/>
  <c r="M271" i="13"/>
  <c r="Q271" i="13"/>
  <c r="E271" i="13"/>
  <c r="R271" i="13"/>
  <c r="K271" i="13"/>
  <c r="W271" i="13"/>
  <c r="U271" i="13"/>
  <c r="BS181" i="13" l="1"/>
  <c r="BR181" i="13"/>
  <c r="BT181" i="13"/>
  <c r="AA282" i="13"/>
  <c r="AB282" i="13"/>
  <c r="Z282" i="13"/>
  <c r="CA181" i="13"/>
  <c r="CB181" i="13"/>
  <c r="BZ181" i="13"/>
  <c r="CC181" i="13"/>
  <c r="CF181" i="13"/>
  <c r="BW181" i="13"/>
  <c r="CJ181" i="13"/>
  <c r="BY181" i="13"/>
  <c r="BX181" i="13"/>
  <c r="BU181" i="13"/>
  <c r="BV181" i="13"/>
  <c r="CD181" i="13"/>
  <c r="CG181" i="13"/>
  <c r="CH181" i="13"/>
  <c r="CE181" i="13"/>
  <c r="CI181" i="13"/>
  <c r="R272" i="13"/>
  <c r="P272" i="13"/>
  <c r="V272" i="13"/>
  <c r="F272" i="13"/>
  <c r="B272" i="13"/>
  <c r="T272" i="13"/>
  <c r="BG181" i="13"/>
  <c r="AV181" i="13"/>
  <c r="BI181" i="13"/>
  <c r="BC181" i="13"/>
  <c r="BQ181" i="13"/>
  <c r="BE181" i="13"/>
  <c r="BF181" i="13"/>
  <c r="BP181" i="13"/>
  <c r="BN181" i="13"/>
  <c r="AY181" i="13"/>
  <c r="BJ181" i="13"/>
  <c r="BA181" i="13"/>
  <c r="AZ181" i="13"/>
  <c r="BM181" i="13"/>
  <c r="AX181" i="13"/>
  <c r="BD181" i="13"/>
  <c r="BB181" i="13"/>
  <c r="BL181" i="13"/>
  <c r="AU181" i="13"/>
  <c r="AW181" i="13"/>
  <c r="BH181" i="13"/>
  <c r="AT181" i="13"/>
  <c r="BK181" i="13"/>
  <c r="BO181" i="13"/>
  <c r="W272" i="13"/>
  <c r="Q272" i="13"/>
  <c r="Y272" i="13"/>
  <c r="N272" i="13"/>
  <c r="C272" i="13"/>
  <c r="H272" i="13"/>
  <c r="U272" i="13"/>
  <c r="K272" i="13"/>
  <c r="E272" i="13"/>
  <c r="M272" i="13"/>
  <c r="X272" i="13"/>
  <c r="O272" i="13"/>
  <c r="D272" i="13"/>
  <c r="J272" i="13"/>
  <c r="G272" i="13"/>
  <c r="L272" i="13"/>
  <c r="A183" i="13"/>
  <c r="AS182" i="13"/>
  <c r="I272" i="13"/>
  <c r="S272" i="13"/>
  <c r="BR182" i="13" l="1"/>
  <c r="BS182" i="13"/>
  <c r="BT182" i="13"/>
  <c r="CA182" i="13"/>
  <c r="CC182" i="13"/>
  <c r="CB182" i="13"/>
  <c r="BZ182" i="13"/>
  <c r="CF182" i="13"/>
  <c r="BU182" i="13"/>
  <c r="CH182" i="13"/>
  <c r="CD182" i="13"/>
  <c r="CJ182" i="13"/>
  <c r="BY182" i="13"/>
  <c r="CG182" i="13"/>
  <c r="CI182" i="13"/>
  <c r="BV182" i="13"/>
  <c r="CE182" i="13"/>
  <c r="BX182" i="13"/>
  <c r="BW182" i="13"/>
  <c r="L273" i="13"/>
  <c r="O273" i="13"/>
  <c r="M273" i="13"/>
  <c r="H273" i="13"/>
  <c r="N273" i="13"/>
  <c r="Q273" i="13"/>
  <c r="T273" i="13"/>
  <c r="F273" i="13"/>
  <c r="P273" i="13"/>
  <c r="I273" i="13"/>
  <c r="J273" i="13"/>
  <c r="K273" i="13"/>
  <c r="AW182" i="13"/>
  <c r="AU182" i="13"/>
  <c r="BM182" i="13"/>
  <c r="BI182" i="13"/>
  <c r="AV182" i="13"/>
  <c r="BA182" i="13"/>
  <c r="BO182" i="13"/>
  <c r="AY182" i="13"/>
  <c r="BN182" i="13"/>
  <c r="BP182" i="13"/>
  <c r="BH182" i="13"/>
  <c r="BL182" i="13"/>
  <c r="BE182" i="13"/>
  <c r="BG182" i="13"/>
  <c r="AX182" i="13"/>
  <c r="AZ182" i="13"/>
  <c r="BC182" i="13"/>
  <c r="BJ182" i="13"/>
  <c r="BK182" i="13"/>
  <c r="BF182" i="13"/>
  <c r="AT182" i="13"/>
  <c r="BB182" i="13"/>
  <c r="BQ182" i="13"/>
  <c r="BD182" i="13"/>
  <c r="S273" i="13"/>
  <c r="A184" i="13"/>
  <c r="AS183" i="13"/>
  <c r="G273" i="13"/>
  <c r="D273" i="13"/>
  <c r="X273" i="13"/>
  <c r="E273" i="13"/>
  <c r="U273" i="13"/>
  <c r="C273" i="13"/>
  <c r="Y273" i="13"/>
  <c r="W273" i="13"/>
  <c r="B273" i="13"/>
  <c r="V273" i="13"/>
  <c r="R273" i="13"/>
  <c r="BS183" i="13" l="1"/>
  <c r="BR183" i="13"/>
  <c r="BT183" i="13"/>
  <c r="BZ183" i="13"/>
  <c r="CC183" i="13"/>
  <c r="CA183" i="13"/>
  <c r="CB183" i="13"/>
  <c r="CF183" i="13"/>
  <c r="CI183" i="13"/>
  <c r="CD183" i="13"/>
  <c r="BY183" i="13"/>
  <c r="CE183" i="13"/>
  <c r="BU183" i="13"/>
  <c r="CG183" i="13"/>
  <c r="CH183" i="13"/>
  <c r="BX183" i="13"/>
  <c r="CJ183" i="13"/>
  <c r="BV183" i="13"/>
  <c r="BW183" i="13"/>
  <c r="V274" i="13"/>
  <c r="W274" i="13"/>
  <c r="C274" i="13"/>
  <c r="E274" i="13"/>
  <c r="D274" i="13"/>
  <c r="A185" i="13"/>
  <c r="AS184" i="13"/>
  <c r="K274" i="13"/>
  <c r="I274" i="13"/>
  <c r="F274" i="13"/>
  <c r="Q274" i="13"/>
  <c r="H274" i="13"/>
  <c r="O274" i="13"/>
  <c r="BB183" i="13"/>
  <c r="BQ183" i="13"/>
  <c r="AT183" i="13"/>
  <c r="AX183" i="13"/>
  <c r="BE183" i="13"/>
  <c r="BH183" i="13"/>
  <c r="BN183" i="13"/>
  <c r="BO183" i="13"/>
  <c r="BM183" i="13"/>
  <c r="AW183" i="13"/>
  <c r="BK183" i="13"/>
  <c r="BF183" i="13"/>
  <c r="BJ183" i="13"/>
  <c r="BC183" i="13"/>
  <c r="BL183" i="13"/>
  <c r="BP183" i="13"/>
  <c r="AV183" i="13"/>
  <c r="BI183" i="13"/>
  <c r="AU183" i="13"/>
  <c r="BD183" i="13"/>
  <c r="AZ183" i="13"/>
  <c r="BG183" i="13"/>
  <c r="AY183" i="13"/>
  <c r="BA183" i="13"/>
  <c r="R274" i="13"/>
  <c r="B274" i="13"/>
  <c r="Y274" i="13"/>
  <c r="U274" i="13"/>
  <c r="X274" i="13"/>
  <c r="G274" i="13"/>
  <c r="S274" i="13"/>
  <c r="J274" i="13"/>
  <c r="P274" i="13"/>
  <c r="T274" i="13"/>
  <c r="N274" i="13"/>
  <c r="M274" i="13"/>
  <c r="L274" i="13"/>
  <c r="BS184" i="13" l="1"/>
  <c r="BR184" i="13"/>
  <c r="BT184" i="13"/>
  <c r="BZ184" i="13"/>
  <c r="CB184" i="13"/>
  <c r="CA184" i="13"/>
  <c r="CC184" i="13"/>
  <c r="CF184" i="13"/>
  <c r="BV184" i="13"/>
  <c r="BX184" i="13"/>
  <c r="CJ184" i="13"/>
  <c r="CE184" i="13"/>
  <c r="BU184" i="13"/>
  <c r="BW184" i="13"/>
  <c r="BY184" i="13"/>
  <c r="CH184" i="13"/>
  <c r="CI184" i="13"/>
  <c r="CG184" i="13"/>
  <c r="CD184" i="13"/>
  <c r="BA184" i="13"/>
  <c r="BD184" i="13"/>
  <c r="AU184" i="13"/>
  <c r="BM184" i="13"/>
  <c r="AY184" i="13"/>
  <c r="BG184" i="13"/>
  <c r="AT184" i="13"/>
  <c r="BO184" i="13"/>
  <c r="BH184" i="13"/>
  <c r="BE184" i="13"/>
  <c r="AZ184" i="13"/>
  <c r="BB184" i="13"/>
  <c r="BI184" i="13"/>
  <c r="BL184" i="13"/>
  <c r="BJ184" i="13"/>
  <c r="BF184" i="13"/>
  <c r="BK184" i="13"/>
  <c r="AW184" i="13"/>
  <c r="AX184" i="13"/>
  <c r="BQ184" i="13"/>
  <c r="BN184" i="13"/>
  <c r="AV184" i="13"/>
  <c r="BP184" i="13"/>
  <c r="BC184" i="13"/>
  <c r="T275" i="13"/>
  <c r="J275" i="13"/>
  <c r="G275" i="13"/>
  <c r="U275" i="13"/>
  <c r="B275" i="13"/>
  <c r="O275" i="13"/>
  <c r="Q275" i="13"/>
  <c r="I275" i="13"/>
  <c r="A186" i="13"/>
  <c r="AS185" i="13"/>
  <c r="E275" i="13"/>
  <c r="W275" i="13"/>
  <c r="M275" i="13"/>
  <c r="L275" i="13"/>
  <c r="N275" i="13"/>
  <c r="P275" i="13"/>
  <c r="S275" i="13"/>
  <c r="X275" i="13"/>
  <c r="Y275" i="13"/>
  <c r="R275" i="13"/>
  <c r="H275" i="13"/>
  <c r="F275" i="13"/>
  <c r="K275" i="13"/>
  <c r="D275" i="13"/>
  <c r="C275" i="13"/>
  <c r="V275" i="13"/>
  <c r="BT185" i="13" l="1"/>
  <c r="BR185" i="13"/>
  <c r="BS185" i="13"/>
  <c r="BZ185" i="13"/>
  <c r="CC185" i="13"/>
  <c r="CA185" i="13"/>
  <c r="CB185" i="13"/>
  <c r="CF185" i="13"/>
  <c r="CE185" i="13"/>
  <c r="BV185" i="13"/>
  <c r="BW185" i="13"/>
  <c r="BY185" i="13"/>
  <c r="CG185" i="13"/>
  <c r="CH185" i="13"/>
  <c r="BX185" i="13"/>
  <c r="CI185" i="13"/>
  <c r="CD185" i="13"/>
  <c r="BU185" i="13"/>
  <c r="CJ185" i="13"/>
  <c r="E276" i="13"/>
  <c r="L70" i="13"/>
  <c r="G276" i="13"/>
  <c r="N70" i="13"/>
  <c r="C276" i="13"/>
  <c r="J70" i="13"/>
  <c r="K276" i="13"/>
  <c r="R70" i="13"/>
  <c r="H276" i="13"/>
  <c r="O70" i="13"/>
  <c r="R276" i="13"/>
  <c r="Y70" i="13"/>
  <c r="X276" i="13"/>
  <c r="AE70" i="13"/>
  <c r="P276" i="13"/>
  <c r="W70" i="13"/>
  <c r="L276" i="13"/>
  <c r="S70" i="13"/>
  <c r="BM185" i="13"/>
  <c r="AV185" i="13"/>
  <c r="BC185" i="13"/>
  <c r="BD185" i="13"/>
  <c r="BQ185" i="13"/>
  <c r="BF185" i="13"/>
  <c r="BE185" i="13"/>
  <c r="BG185" i="13"/>
  <c r="BL185" i="13"/>
  <c r="BB185" i="13"/>
  <c r="BO185" i="13"/>
  <c r="AX185" i="13"/>
  <c r="BH185" i="13"/>
  <c r="BP185" i="13"/>
  <c r="BA185" i="13"/>
  <c r="AU185" i="13"/>
  <c r="BN185" i="13"/>
  <c r="BK185" i="13"/>
  <c r="BI185" i="13"/>
  <c r="AZ185" i="13"/>
  <c r="AT185" i="13"/>
  <c r="AY185" i="13"/>
  <c r="AW185" i="13"/>
  <c r="BJ185" i="13"/>
  <c r="W276" i="13"/>
  <c r="AD70" i="13"/>
  <c r="A187" i="13"/>
  <c r="AS186" i="13"/>
  <c r="Q276" i="13"/>
  <c r="X70" i="13"/>
  <c r="U276" i="13"/>
  <c r="AB70" i="13"/>
  <c r="J276" i="13"/>
  <c r="Q70" i="13"/>
  <c r="I276" i="13"/>
  <c r="P70" i="13"/>
  <c r="O276" i="13"/>
  <c r="V70" i="13"/>
  <c r="B276" i="13"/>
  <c r="I70" i="13"/>
  <c r="T276" i="13"/>
  <c r="AA70" i="13"/>
  <c r="V276" i="13"/>
  <c r="AC70" i="13"/>
  <c r="D276" i="13"/>
  <c r="K70" i="13"/>
  <c r="F276" i="13"/>
  <c r="M70" i="13"/>
  <c r="Y276" i="13"/>
  <c r="AY70" i="13"/>
  <c r="S276" i="13"/>
  <c r="Z70" i="13"/>
  <c r="N276" i="13"/>
  <c r="U70" i="13"/>
  <c r="M276" i="13"/>
  <c r="T70" i="13"/>
  <c r="BT186" i="13" l="1"/>
  <c r="BS186" i="13"/>
  <c r="BR186" i="13"/>
  <c r="CB186" i="13"/>
  <c r="BZ186" i="13"/>
  <c r="CA186" i="13"/>
  <c r="CC186" i="13"/>
  <c r="CF186" i="13"/>
  <c r="CI186" i="13"/>
  <c r="BX186" i="13"/>
  <c r="CD186" i="13"/>
  <c r="BY186" i="13"/>
  <c r="BU186" i="13"/>
  <c r="BW186" i="13"/>
  <c r="BV186" i="13"/>
  <c r="CE186" i="13"/>
  <c r="CJ186" i="13"/>
  <c r="CH186" i="13"/>
  <c r="CG186" i="13"/>
  <c r="M277" i="13"/>
  <c r="F277" i="13"/>
  <c r="W277" i="13"/>
  <c r="R277" i="13"/>
  <c r="G277" i="13"/>
  <c r="T277" i="13"/>
  <c r="J277" i="13"/>
  <c r="AT186" i="13"/>
  <c r="BG186" i="13"/>
  <c r="BC186" i="13"/>
  <c r="AX186" i="13"/>
  <c r="BO186" i="13"/>
  <c r="BP186" i="13"/>
  <c r="BD186" i="13"/>
  <c r="BJ186" i="13"/>
  <c r="AV186" i="13"/>
  <c r="AU186" i="13"/>
  <c r="BA186" i="13"/>
  <c r="BE186" i="13"/>
  <c r="BK186" i="13"/>
  <c r="BM186" i="13"/>
  <c r="AZ186" i="13"/>
  <c r="BB186" i="13"/>
  <c r="BN186" i="13"/>
  <c r="BI186" i="13"/>
  <c r="BQ186" i="13"/>
  <c r="AY186" i="13"/>
  <c r="BF186" i="13"/>
  <c r="BH186" i="13"/>
  <c r="BL186" i="13"/>
  <c r="AW186" i="13"/>
  <c r="X277" i="13"/>
  <c r="C277" i="13"/>
  <c r="S277" i="13"/>
  <c r="V277" i="13"/>
  <c r="I277" i="13"/>
  <c r="A188" i="13"/>
  <c r="AS187" i="13"/>
  <c r="P277" i="13"/>
  <c r="K277" i="13"/>
  <c r="B277" i="13"/>
  <c r="U277" i="13"/>
  <c r="Y277" i="13"/>
  <c r="N277" i="13"/>
  <c r="D277" i="13"/>
  <c r="O277" i="13"/>
  <c r="Q277" i="13"/>
  <c r="L277" i="13"/>
  <c r="H277" i="13"/>
  <c r="E277" i="13"/>
  <c r="BS187" i="13" l="1"/>
  <c r="BT187" i="13"/>
  <c r="BR187" i="13"/>
  <c r="CC187" i="13"/>
  <c r="BZ187" i="13"/>
  <c r="CB187" i="13"/>
  <c r="CA187" i="13"/>
  <c r="CF187" i="13"/>
  <c r="BW187" i="13"/>
  <c r="BU187" i="13"/>
  <c r="CD187" i="13"/>
  <c r="BX187" i="13"/>
  <c r="CJ187" i="13"/>
  <c r="CE187" i="13"/>
  <c r="CH187" i="13"/>
  <c r="CI187" i="13"/>
  <c r="BV187" i="13"/>
  <c r="BY187" i="13"/>
  <c r="CG187" i="13"/>
  <c r="N278" i="13"/>
  <c r="A189" i="13"/>
  <c r="AS188" i="13"/>
  <c r="V278" i="13"/>
  <c r="C278" i="13"/>
  <c r="F278" i="13"/>
  <c r="E278" i="13"/>
  <c r="L278" i="13"/>
  <c r="Q278" i="13"/>
  <c r="D278" i="13"/>
  <c r="Y278" i="13"/>
  <c r="B278" i="13"/>
  <c r="P278" i="13"/>
  <c r="J278" i="13"/>
  <c r="G278" i="13"/>
  <c r="I278" i="13"/>
  <c r="S278" i="13"/>
  <c r="X278" i="13"/>
  <c r="W278" i="13"/>
  <c r="M278" i="13"/>
  <c r="H278" i="13"/>
  <c r="O278" i="13"/>
  <c r="U278" i="13"/>
  <c r="K278" i="13"/>
  <c r="AW187" i="13"/>
  <c r="BI187" i="13"/>
  <c r="BH187" i="13"/>
  <c r="BN187" i="13"/>
  <c r="BM187" i="13"/>
  <c r="AU187" i="13"/>
  <c r="BD187" i="13"/>
  <c r="BL187" i="13"/>
  <c r="BF187" i="13"/>
  <c r="AX187" i="13"/>
  <c r="BC187" i="13"/>
  <c r="BG187" i="13"/>
  <c r="BB187" i="13"/>
  <c r="AT187" i="13"/>
  <c r="AY187" i="13"/>
  <c r="BE187" i="13"/>
  <c r="BA187" i="13"/>
  <c r="BP187" i="13"/>
  <c r="BQ187" i="13"/>
  <c r="AZ187" i="13"/>
  <c r="BK187" i="13"/>
  <c r="AV187" i="13"/>
  <c r="BJ187" i="13"/>
  <c r="BO187" i="13"/>
  <c r="T278" i="13"/>
  <c r="R278" i="13"/>
  <c r="BS188" i="13" l="1"/>
  <c r="BR188" i="13"/>
  <c r="BT188" i="13"/>
  <c r="CB188" i="13"/>
  <c r="CC188" i="13"/>
  <c r="CA188" i="13"/>
  <c r="BZ188" i="13"/>
  <c r="CF188" i="13"/>
  <c r="BY188" i="13"/>
  <c r="BX188" i="13"/>
  <c r="CD188" i="13"/>
  <c r="CG188" i="13"/>
  <c r="CH188" i="13"/>
  <c r="CJ188" i="13"/>
  <c r="BV188" i="13"/>
  <c r="CE188" i="13"/>
  <c r="CI188" i="13"/>
  <c r="BU188" i="13"/>
  <c r="BW188" i="13"/>
  <c r="T279" i="13"/>
  <c r="B279" i="13"/>
  <c r="D279" i="13"/>
  <c r="L279" i="13"/>
  <c r="F279" i="13"/>
  <c r="N279" i="13"/>
  <c r="U279" i="13"/>
  <c r="H279" i="13"/>
  <c r="W279" i="13"/>
  <c r="S279" i="13"/>
  <c r="G279" i="13"/>
  <c r="AV188" i="13"/>
  <c r="BQ188" i="13"/>
  <c r="BP188" i="13"/>
  <c r="AX188" i="13"/>
  <c r="BL188" i="13"/>
  <c r="BD188" i="13"/>
  <c r="AU188" i="13"/>
  <c r="AZ188" i="13"/>
  <c r="BI188" i="13"/>
  <c r="AW188" i="13"/>
  <c r="BJ188" i="13"/>
  <c r="BH188" i="13"/>
  <c r="BA188" i="13"/>
  <c r="AY188" i="13"/>
  <c r="BB188" i="13"/>
  <c r="BG188" i="13"/>
  <c r="BC188" i="13"/>
  <c r="BF188" i="13"/>
  <c r="BK188" i="13"/>
  <c r="BO188" i="13"/>
  <c r="BM188" i="13"/>
  <c r="BN188" i="13"/>
  <c r="BE188" i="13"/>
  <c r="AT188" i="13"/>
  <c r="R279" i="13"/>
  <c r="P279" i="13"/>
  <c r="Y279" i="13"/>
  <c r="Q279" i="13"/>
  <c r="E279" i="13"/>
  <c r="C279" i="13"/>
  <c r="A190" i="13"/>
  <c r="AS189" i="13"/>
  <c r="V279" i="13"/>
  <c r="K279" i="13"/>
  <c r="O279" i="13"/>
  <c r="M279" i="13"/>
  <c r="X279" i="13"/>
  <c r="I279" i="13"/>
  <c r="J279" i="13"/>
  <c r="BT189" i="13" l="1"/>
  <c r="BS189" i="13"/>
  <c r="BR189" i="13"/>
  <c r="CA189" i="13"/>
  <c r="CC189" i="13"/>
  <c r="BZ189" i="13"/>
  <c r="CB189" i="13"/>
  <c r="CF189" i="13"/>
  <c r="CI189" i="13"/>
  <c r="BX189" i="13"/>
  <c r="BY189" i="13"/>
  <c r="BU189" i="13"/>
  <c r="BV189" i="13"/>
  <c r="CD189" i="13"/>
  <c r="CJ189" i="13"/>
  <c r="CG189" i="13"/>
  <c r="CE189" i="13"/>
  <c r="BW189" i="13"/>
  <c r="CH189" i="13"/>
  <c r="C280" i="13"/>
  <c r="Q280" i="13"/>
  <c r="P280" i="13"/>
  <c r="J280" i="13"/>
  <c r="X280" i="13"/>
  <c r="O280" i="13"/>
  <c r="BK189" i="13"/>
  <c r="AT189" i="13"/>
  <c r="BF189" i="13"/>
  <c r="AZ189" i="13"/>
  <c r="BO189" i="13"/>
  <c r="BI189" i="13"/>
  <c r="BP189" i="13"/>
  <c r="BG189" i="13"/>
  <c r="BJ189" i="13"/>
  <c r="AW189" i="13"/>
  <c r="AU189" i="13"/>
  <c r="BD189" i="13"/>
  <c r="BL189" i="13"/>
  <c r="BQ189" i="13"/>
  <c r="BM189" i="13"/>
  <c r="BC189" i="13"/>
  <c r="BB189" i="13"/>
  <c r="AY189" i="13"/>
  <c r="BA189" i="13"/>
  <c r="BH189" i="13"/>
  <c r="BE189" i="13"/>
  <c r="AV189" i="13"/>
  <c r="AX189" i="13"/>
  <c r="BN189" i="13"/>
  <c r="R280" i="13"/>
  <c r="S280" i="13"/>
  <c r="H280" i="13"/>
  <c r="F280" i="13"/>
  <c r="D280" i="13"/>
  <c r="A191" i="13"/>
  <c r="AS190" i="13"/>
  <c r="E280" i="13"/>
  <c r="Y280" i="13"/>
  <c r="I280" i="13"/>
  <c r="M280" i="13"/>
  <c r="K280" i="13"/>
  <c r="V280" i="13"/>
  <c r="G280" i="13"/>
  <c r="W280" i="13"/>
  <c r="U280" i="13"/>
  <c r="N280" i="13"/>
  <c r="L280" i="13"/>
  <c r="B280" i="13"/>
  <c r="T280" i="13"/>
  <c r="BT190" i="13" l="1"/>
  <c r="BR190" i="13"/>
  <c r="BS190" i="13"/>
  <c r="BZ190" i="13"/>
  <c r="CA190" i="13"/>
  <c r="CB190" i="13"/>
  <c r="CC190" i="13"/>
  <c r="CF190" i="13"/>
  <c r="CJ190" i="13"/>
  <c r="BX190" i="13"/>
  <c r="BU190" i="13"/>
  <c r="CG190" i="13"/>
  <c r="BY190" i="13"/>
  <c r="CH190" i="13"/>
  <c r="CE190" i="13"/>
  <c r="CD190" i="13"/>
  <c r="BW190" i="13"/>
  <c r="BV190" i="13"/>
  <c r="CI190" i="13"/>
  <c r="BP190" i="13"/>
  <c r="BI190" i="13"/>
  <c r="BG190" i="13"/>
  <c r="BN190" i="13"/>
  <c r="BK190" i="13"/>
  <c r="AZ190" i="13"/>
  <c r="AU190" i="13"/>
  <c r="BH190" i="13"/>
  <c r="BB190" i="13"/>
  <c r="BJ190" i="13"/>
  <c r="AX190" i="13"/>
  <c r="AV190" i="13"/>
  <c r="BE190" i="13"/>
  <c r="BF190" i="13"/>
  <c r="AT190" i="13"/>
  <c r="AW190" i="13"/>
  <c r="AY190" i="13"/>
  <c r="BC190" i="13"/>
  <c r="BM190" i="13"/>
  <c r="BQ190" i="13"/>
  <c r="BL190" i="13"/>
  <c r="BO190" i="13"/>
  <c r="BA190" i="13"/>
  <c r="BD190" i="13"/>
  <c r="B281" i="13"/>
  <c r="N281" i="13"/>
  <c r="W281" i="13"/>
  <c r="V281" i="13"/>
  <c r="M281" i="13"/>
  <c r="Y281" i="13"/>
  <c r="A192" i="13"/>
  <c r="AS191" i="13"/>
  <c r="F281" i="13"/>
  <c r="S281" i="13"/>
  <c r="O281" i="13"/>
  <c r="J281" i="13"/>
  <c r="Q281" i="13"/>
  <c r="T281" i="13"/>
  <c r="L281" i="13"/>
  <c r="U281" i="13"/>
  <c r="G281" i="13"/>
  <c r="K281" i="13"/>
  <c r="I281" i="13"/>
  <c r="E281" i="13"/>
  <c r="D281" i="13"/>
  <c r="H281" i="13"/>
  <c r="R281" i="13"/>
  <c r="X281" i="13"/>
  <c r="P281" i="13"/>
  <c r="C281" i="13"/>
  <c r="BT191" i="13" l="1"/>
  <c r="BS191" i="13"/>
  <c r="BR191" i="13"/>
  <c r="CA191" i="13"/>
  <c r="BZ191" i="13"/>
  <c r="CC191" i="13"/>
  <c r="CB191" i="13"/>
  <c r="CF191" i="13"/>
  <c r="CI191" i="13"/>
  <c r="BV191" i="13"/>
  <c r="BX191" i="13"/>
  <c r="CJ191" i="13"/>
  <c r="BU191" i="13"/>
  <c r="BW191" i="13"/>
  <c r="CD191" i="13"/>
  <c r="BY191" i="13"/>
  <c r="CE191" i="13"/>
  <c r="CH191" i="13"/>
  <c r="CG191" i="13"/>
  <c r="P282" i="13"/>
  <c r="R282" i="13"/>
  <c r="D282" i="13"/>
  <c r="I282" i="13"/>
  <c r="G282" i="13"/>
  <c r="L282" i="13"/>
  <c r="Q282" i="13"/>
  <c r="O282" i="13"/>
  <c r="F282" i="13"/>
  <c r="Y282" i="13"/>
  <c r="V282" i="13"/>
  <c r="N282" i="13"/>
  <c r="BN191" i="13"/>
  <c r="BC191" i="13"/>
  <c r="AW191" i="13"/>
  <c r="AX191" i="13"/>
  <c r="BP191" i="13"/>
  <c r="AZ191" i="13"/>
  <c r="BD191" i="13"/>
  <c r="BA191" i="13"/>
  <c r="BG191" i="13"/>
  <c r="BO191" i="13"/>
  <c r="BH191" i="13"/>
  <c r="AU191" i="13"/>
  <c r="BQ191" i="13"/>
  <c r="BM191" i="13"/>
  <c r="AY191" i="13"/>
  <c r="AT191" i="13"/>
  <c r="AV191" i="13"/>
  <c r="BJ191" i="13"/>
  <c r="BI191" i="13"/>
  <c r="BB191" i="13"/>
  <c r="BK191" i="13"/>
  <c r="BL191" i="13"/>
  <c r="BF191" i="13"/>
  <c r="BE191" i="13"/>
  <c r="C282" i="13"/>
  <c r="X282" i="13"/>
  <c r="H282" i="13"/>
  <c r="E282" i="13"/>
  <c r="K282" i="13"/>
  <c r="U282" i="13"/>
  <c r="T282" i="13"/>
  <c r="J282" i="13"/>
  <c r="S282" i="13"/>
  <c r="A193" i="13"/>
  <c r="AS192" i="13"/>
  <c r="M282" i="13"/>
  <c r="W282" i="13"/>
  <c r="B282" i="13"/>
  <c r="BR192" i="13" l="1"/>
  <c r="BT192" i="13"/>
  <c r="BS192" i="13"/>
  <c r="CA192" i="13"/>
  <c r="CB192" i="13"/>
  <c r="CC192" i="13"/>
  <c r="BZ192" i="13"/>
  <c r="CF192" i="13"/>
  <c r="CG192" i="13"/>
  <c r="BY192" i="13"/>
  <c r="CI192" i="13"/>
  <c r="CH192" i="13"/>
  <c r="BV192" i="13"/>
  <c r="CJ192" i="13"/>
  <c r="BW192" i="13"/>
  <c r="CE192" i="13"/>
  <c r="BU192" i="13"/>
  <c r="BX192" i="13"/>
  <c r="CD192" i="13"/>
  <c r="AW192" i="13"/>
  <c r="BC192" i="13"/>
  <c r="BN192" i="13"/>
  <c r="BK192" i="13"/>
  <c r="BF192" i="13"/>
  <c r="BL192" i="13"/>
  <c r="BJ192" i="13"/>
  <c r="AU192" i="13"/>
  <c r="BE192" i="13"/>
  <c r="AX192" i="13"/>
  <c r="BB192" i="13"/>
  <c r="AV192" i="13"/>
  <c r="BM192" i="13"/>
  <c r="BH192" i="13"/>
  <c r="BO192" i="13"/>
  <c r="BA192" i="13"/>
  <c r="BD192" i="13"/>
  <c r="AZ192" i="13"/>
  <c r="BP192" i="13"/>
  <c r="BI192" i="13"/>
  <c r="AT192" i="13"/>
  <c r="AY192" i="13"/>
  <c r="BQ192" i="13"/>
  <c r="BG192" i="13"/>
  <c r="A194" i="13"/>
  <c r="AS193" i="13"/>
  <c r="BT193" i="13" l="1"/>
  <c r="BS193" i="13"/>
  <c r="BR193" i="13"/>
  <c r="BZ193" i="13"/>
  <c r="CB193" i="13"/>
  <c r="CC193" i="13"/>
  <c r="CA193" i="13"/>
  <c r="CF193" i="13"/>
  <c r="CD193" i="13"/>
  <c r="CJ193" i="13"/>
  <c r="BU193" i="13"/>
  <c r="BW193" i="13"/>
  <c r="CE193" i="13"/>
  <c r="CH193" i="13"/>
  <c r="CI193" i="13"/>
  <c r="CG193" i="13"/>
  <c r="BY193" i="13"/>
  <c r="BV193" i="13"/>
  <c r="BX193" i="13"/>
  <c r="A195" i="13"/>
  <c r="AS194" i="13"/>
  <c r="AU193" i="13"/>
  <c r="BI193" i="13"/>
  <c r="AZ193" i="13"/>
  <c r="BA193" i="13"/>
  <c r="BO193" i="13"/>
  <c r="BH193" i="13"/>
  <c r="BB193" i="13"/>
  <c r="AW193" i="13"/>
  <c r="AY193" i="13"/>
  <c r="BF193" i="13"/>
  <c r="BN193" i="13"/>
  <c r="BG193" i="13"/>
  <c r="BQ193" i="13"/>
  <c r="AT193" i="13"/>
  <c r="BJ193" i="13"/>
  <c r="BK193" i="13"/>
  <c r="BC193" i="13"/>
  <c r="BL193" i="13"/>
  <c r="BP193" i="13"/>
  <c r="BD193" i="13"/>
  <c r="BM193" i="13"/>
  <c r="AV193" i="13"/>
  <c r="AX193" i="13"/>
  <c r="BE193" i="13"/>
  <c r="BT194" i="13" l="1"/>
  <c r="BR194" i="13"/>
  <c r="BS194" i="13"/>
  <c r="CC194" i="13"/>
  <c r="CA194" i="13"/>
  <c r="CB194" i="13"/>
  <c r="BZ194" i="13"/>
  <c r="CF194" i="13"/>
  <c r="CE194" i="13"/>
  <c r="CI194" i="13"/>
  <c r="CD194" i="13"/>
  <c r="BV194" i="13"/>
  <c r="BW194" i="13"/>
  <c r="BY194" i="13"/>
  <c r="BX194" i="13"/>
  <c r="CG194" i="13"/>
  <c r="BU194" i="13"/>
  <c r="CJ194" i="13"/>
  <c r="CH194" i="13"/>
  <c r="AY194" i="13"/>
  <c r="BC194" i="13"/>
  <c r="BK194" i="13"/>
  <c r="BJ194" i="13"/>
  <c r="BQ194" i="13"/>
  <c r="BG194" i="13"/>
  <c r="BA194" i="13"/>
  <c r="AU194" i="13"/>
  <c r="AX194" i="13"/>
  <c r="AV194" i="13"/>
  <c r="AW194" i="13"/>
  <c r="BH194" i="13"/>
  <c r="BE194" i="13"/>
  <c r="BD194" i="13"/>
  <c r="BP194" i="13"/>
  <c r="BL194" i="13"/>
  <c r="BB194" i="13"/>
  <c r="BO194" i="13"/>
  <c r="BI194" i="13"/>
  <c r="BF194" i="13"/>
  <c r="AT194" i="13"/>
  <c r="BN194" i="13"/>
  <c r="BM194" i="13"/>
  <c r="AZ194" i="13"/>
  <c r="A196" i="13"/>
  <c r="AS195" i="13"/>
  <c r="BS195" i="13" l="1"/>
  <c r="BT195" i="13"/>
  <c r="BR195" i="13"/>
  <c r="CB195" i="13"/>
  <c r="CC195" i="13"/>
  <c r="BZ195" i="13"/>
  <c r="CA195" i="13"/>
  <c r="CF195" i="13"/>
  <c r="BU195" i="13"/>
  <c r="CG195" i="13"/>
  <c r="CI195" i="13"/>
  <c r="BX195" i="13"/>
  <c r="CJ195" i="13"/>
  <c r="BV195" i="13"/>
  <c r="CD195" i="13"/>
  <c r="BY195" i="13"/>
  <c r="CH195" i="13"/>
  <c r="BW195" i="13"/>
  <c r="CE195" i="13"/>
  <c r="BJ195" i="13"/>
  <c r="BK195" i="13"/>
  <c r="BH195" i="13"/>
  <c r="AX195" i="13"/>
  <c r="AU195" i="13"/>
  <c r="BB195" i="13"/>
  <c r="AZ195" i="13"/>
  <c r="BG195" i="13"/>
  <c r="BI195" i="13"/>
  <c r="BE195" i="13"/>
  <c r="BC195" i="13"/>
  <c r="BF195" i="13"/>
  <c r="BQ195" i="13"/>
  <c r="AW195" i="13"/>
  <c r="AV195" i="13"/>
  <c r="BN195" i="13"/>
  <c r="BA195" i="13"/>
  <c r="AT195" i="13"/>
  <c r="BD195" i="13"/>
  <c r="BM195" i="13"/>
  <c r="BP195" i="13"/>
  <c r="AY195" i="13"/>
  <c r="BO195" i="13"/>
  <c r="BL195" i="13"/>
  <c r="A197" i="13"/>
  <c r="AS196" i="13"/>
  <c r="BS196" i="13" l="1"/>
  <c r="BT196" i="13"/>
  <c r="BR196" i="13"/>
  <c r="CC196" i="13"/>
  <c r="CA196" i="13"/>
  <c r="BZ196" i="13"/>
  <c r="CB196" i="13"/>
  <c r="CF196" i="13"/>
  <c r="CI196" i="13"/>
  <c r="CE196" i="13"/>
  <c r="CG196" i="13"/>
  <c r="BX196" i="13"/>
  <c r="CD196" i="13"/>
  <c r="BW196" i="13"/>
  <c r="BU196" i="13"/>
  <c r="CH196" i="13"/>
  <c r="CJ196" i="13"/>
  <c r="BY196" i="13"/>
  <c r="BV196" i="13"/>
  <c r="AU196" i="13"/>
  <c r="BF196" i="13"/>
  <c r="BE196" i="13"/>
  <c r="BA196" i="13"/>
  <c r="BL196" i="13"/>
  <c r="BI196" i="13"/>
  <c r="AW196" i="13"/>
  <c r="AY196" i="13"/>
  <c r="BC196" i="13"/>
  <c r="BK196" i="13"/>
  <c r="BM196" i="13"/>
  <c r="BD196" i="13"/>
  <c r="BP196" i="13"/>
  <c r="BO196" i="13"/>
  <c r="BQ196" i="13"/>
  <c r="BB196" i="13"/>
  <c r="BG196" i="13"/>
  <c r="AZ196" i="13"/>
  <c r="AX196" i="13"/>
  <c r="BH196" i="13"/>
  <c r="BJ196" i="13"/>
  <c r="BN196" i="13"/>
  <c r="AT196" i="13"/>
  <c r="AV196" i="13"/>
  <c r="A198" i="13"/>
  <c r="AS197" i="13"/>
  <c r="BS197" i="13" l="1"/>
  <c r="BT197" i="13"/>
  <c r="BR197" i="13"/>
  <c r="CC197" i="13"/>
  <c r="CB197" i="13"/>
  <c r="BZ197" i="13"/>
  <c r="CA197" i="13"/>
  <c r="CF197" i="13"/>
  <c r="BV197" i="13"/>
  <c r="BX197" i="13"/>
  <c r="CI197" i="13"/>
  <c r="CJ197" i="13"/>
  <c r="CH197" i="13"/>
  <c r="BU197" i="13"/>
  <c r="CG197" i="13"/>
  <c r="CE197" i="13"/>
  <c r="BY197" i="13"/>
  <c r="CD197" i="13"/>
  <c r="BW197" i="13"/>
  <c r="BL197" i="13"/>
  <c r="BP197" i="13"/>
  <c r="BN197" i="13"/>
  <c r="BK197" i="13"/>
  <c r="BE197" i="13"/>
  <c r="AT197" i="13"/>
  <c r="BJ197" i="13"/>
  <c r="AY197" i="13"/>
  <c r="AV197" i="13"/>
  <c r="BB197" i="13"/>
  <c r="AX197" i="13"/>
  <c r="BG197" i="13"/>
  <c r="BI197" i="13"/>
  <c r="BF197" i="13"/>
  <c r="AU197" i="13"/>
  <c r="BO197" i="13"/>
  <c r="BD197" i="13"/>
  <c r="BM197" i="13"/>
  <c r="BH197" i="13"/>
  <c r="BC197" i="13"/>
  <c r="AZ197" i="13"/>
  <c r="AW197" i="13"/>
  <c r="BA197" i="13"/>
  <c r="BQ197" i="13"/>
  <c r="A199" i="13"/>
  <c r="AS198" i="13"/>
  <c r="BS198" i="13" l="1"/>
  <c r="BR198" i="13"/>
  <c r="BT198" i="13"/>
  <c r="BZ198" i="13"/>
  <c r="CA198" i="13"/>
  <c r="CB198" i="13"/>
  <c r="CC198" i="13"/>
  <c r="CF198" i="13"/>
  <c r="CJ198" i="13"/>
  <c r="BW198" i="13"/>
  <c r="BY198" i="13"/>
  <c r="BU198" i="13"/>
  <c r="CH198" i="13"/>
  <c r="BX198" i="13"/>
  <c r="CD198" i="13"/>
  <c r="BV198" i="13"/>
  <c r="CI198" i="13"/>
  <c r="CE198" i="13"/>
  <c r="CG198" i="13"/>
  <c r="BG198" i="13"/>
  <c r="BB198" i="13"/>
  <c r="AY198" i="13"/>
  <c r="AU198" i="13"/>
  <c r="BK198" i="13"/>
  <c r="AW198" i="13"/>
  <c r="BH198" i="13"/>
  <c r="BD198" i="13"/>
  <c r="BO198" i="13"/>
  <c r="BF198" i="13"/>
  <c r="BI198" i="13"/>
  <c r="BP198" i="13"/>
  <c r="BL198" i="13"/>
  <c r="AX198" i="13"/>
  <c r="AV198" i="13"/>
  <c r="BE198" i="13"/>
  <c r="BN198" i="13"/>
  <c r="BJ198" i="13"/>
  <c r="BQ198" i="13"/>
  <c r="AT198" i="13"/>
  <c r="BA198" i="13"/>
  <c r="AZ198" i="13"/>
  <c r="BC198" i="13"/>
  <c r="BM198" i="13"/>
  <c r="A200" i="13"/>
  <c r="AS199" i="13"/>
  <c r="BT199" i="13" l="1"/>
  <c r="BR199" i="13"/>
  <c r="BS199" i="13"/>
  <c r="CB199" i="13"/>
  <c r="CA199" i="13"/>
  <c r="BZ199" i="13"/>
  <c r="CC199" i="13"/>
  <c r="CF199" i="13"/>
  <c r="BV199" i="13"/>
  <c r="CD199" i="13"/>
  <c r="CE199" i="13"/>
  <c r="CI199" i="13"/>
  <c r="BU199" i="13"/>
  <c r="BW199" i="13"/>
  <c r="BX199" i="13"/>
  <c r="BY199" i="13"/>
  <c r="CG199" i="13"/>
  <c r="CH199" i="13"/>
  <c r="CJ199" i="13"/>
  <c r="BM199" i="13"/>
  <c r="AZ199" i="13"/>
  <c r="AT199" i="13"/>
  <c r="BJ199" i="13"/>
  <c r="BE199" i="13"/>
  <c r="AV199" i="13"/>
  <c r="BL199" i="13"/>
  <c r="BF199" i="13"/>
  <c r="BH199" i="13"/>
  <c r="AW199" i="13"/>
  <c r="AY199" i="13"/>
  <c r="BG199" i="13"/>
  <c r="AU199" i="13"/>
  <c r="BC199" i="13"/>
  <c r="BA199" i="13"/>
  <c r="BQ199" i="13"/>
  <c r="BN199" i="13"/>
  <c r="AX199" i="13"/>
  <c r="BB199" i="13"/>
  <c r="BP199" i="13"/>
  <c r="BI199" i="13"/>
  <c r="BO199" i="13"/>
  <c r="BD199" i="13"/>
  <c r="BK199" i="13"/>
  <c r="A201" i="13"/>
  <c r="AS200" i="13"/>
  <c r="BT200" i="13" l="1"/>
  <c r="BR200" i="13"/>
  <c r="BS200" i="13"/>
  <c r="CC200" i="13"/>
  <c r="CA200" i="13"/>
  <c r="BZ200" i="13"/>
  <c r="CB200" i="13"/>
  <c r="CF200" i="13"/>
  <c r="CG200" i="13"/>
  <c r="BV200" i="13"/>
  <c r="BY200" i="13"/>
  <c r="CE200" i="13"/>
  <c r="CH200" i="13"/>
  <c r="CJ200" i="13"/>
  <c r="BU200" i="13"/>
  <c r="CI200" i="13"/>
  <c r="CD200" i="13"/>
  <c r="BW200" i="13"/>
  <c r="BX200" i="13"/>
  <c r="AV200" i="13"/>
  <c r="BQ200" i="13"/>
  <c r="BC200" i="13"/>
  <c r="AY200" i="13"/>
  <c r="AW200" i="13"/>
  <c r="BK200" i="13"/>
  <c r="BP200" i="13"/>
  <c r="AX200" i="13"/>
  <c r="BN200" i="13"/>
  <c r="BH200" i="13"/>
  <c r="BG200" i="13"/>
  <c r="BJ200" i="13"/>
  <c r="AZ200" i="13"/>
  <c r="BD200" i="13"/>
  <c r="BI200" i="13"/>
  <c r="BB200" i="13"/>
  <c r="AU200" i="13"/>
  <c r="BF200" i="13"/>
  <c r="BA200" i="13"/>
  <c r="BE200" i="13"/>
  <c r="BL200" i="13"/>
  <c r="AT200" i="13"/>
  <c r="BM200" i="13"/>
  <c r="BO200" i="13"/>
  <c r="A202" i="13"/>
  <c r="AS201" i="13"/>
  <c r="BT201" i="13" l="1"/>
  <c r="BS201" i="13"/>
  <c r="BR201" i="13"/>
  <c r="BZ201" i="13"/>
  <c r="CC201" i="13"/>
  <c r="CB201" i="13"/>
  <c r="CA201" i="13"/>
  <c r="CF201" i="13"/>
  <c r="CD201" i="13"/>
  <c r="BW201" i="13"/>
  <c r="CG201" i="13"/>
  <c r="BU201" i="13"/>
  <c r="CE201" i="13"/>
  <c r="BY201" i="13"/>
  <c r="BX201" i="13"/>
  <c r="BV201" i="13"/>
  <c r="CH201" i="13"/>
  <c r="CJ201" i="13"/>
  <c r="CI201" i="13"/>
  <c r="BC201" i="13"/>
  <c r="BF201" i="13"/>
  <c r="BI201" i="13"/>
  <c r="AZ201" i="13"/>
  <c r="BA201" i="13"/>
  <c r="AY201" i="13"/>
  <c r="BQ201" i="13"/>
  <c r="BH201" i="13"/>
  <c r="BN201" i="13"/>
  <c r="AX201" i="13"/>
  <c r="BO201" i="13"/>
  <c r="BM201" i="13"/>
  <c r="AW201" i="13"/>
  <c r="BE201" i="13"/>
  <c r="BG201" i="13"/>
  <c r="AU201" i="13"/>
  <c r="BB201" i="13"/>
  <c r="BD201" i="13"/>
  <c r="BJ201" i="13"/>
  <c r="AV201" i="13"/>
  <c r="BP201" i="13"/>
  <c r="BK201" i="13"/>
  <c r="AT201" i="13"/>
  <c r="BL201" i="13"/>
  <c r="A203" i="13"/>
  <c r="AS202" i="13"/>
  <c r="BR202" i="13" l="1"/>
  <c r="BS202" i="13"/>
  <c r="BT202" i="13"/>
  <c r="CB202" i="13"/>
  <c r="CC202" i="13"/>
  <c r="BZ202" i="13"/>
  <c r="CA202" i="13"/>
  <c r="CF202" i="13"/>
  <c r="BU202" i="13"/>
  <c r="CI202" i="13"/>
  <c r="CE202" i="13"/>
  <c r="BV202" i="13"/>
  <c r="BY202" i="13"/>
  <c r="CG202" i="13"/>
  <c r="CD202" i="13"/>
  <c r="CH202" i="13"/>
  <c r="CJ202" i="13"/>
  <c r="BX202" i="13"/>
  <c r="BW202" i="13"/>
  <c r="BL202" i="13"/>
  <c r="BP202" i="13"/>
  <c r="BJ202" i="13"/>
  <c r="BD202" i="13"/>
  <c r="AU202" i="13"/>
  <c r="AZ202" i="13"/>
  <c r="BF202" i="13"/>
  <c r="AW202" i="13"/>
  <c r="BM202" i="13"/>
  <c r="BO202" i="13"/>
  <c r="BN202" i="13"/>
  <c r="AY202" i="13"/>
  <c r="BC202" i="13"/>
  <c r="BA202" i="13"/>
  <c r="AT202" i="13"/>
  <c r="BK202" i="13"/>
  <c r="AV202" i="13"/>
  <c r="BB202" i="13"/>
  <c r="BG202" i="13"/>
  <c r="BI202" i="13"/>
  <c r="BE202" i="13"/>
  <c r="AX202" i="13"/>
  <c r="BH202" i="13"/>
  <c r="BQ202" i="13"/>
  <c r="A204" i="13"/>
  <c r="AS203" i="13"/>
  <c r="BS203" i="13" l="1"/>
  <c r="BR203" i="13"/>
  <c r="BT203" i="13"/>
  <c r="CA203" i="13"/>
  <c r="CC203" i="13"/>
  <c r="CB203" i="13"/>
  <c r="BZ203" i="13"/>
  <c r="CF203" i="13"/>
  <c r="CH203" i="13"/>
  <c r="CI203" i="13"/>
  <c r="BU203" i="13"/>
  <c r="CG203" i="13"/>
  <c r="BY203" i="13"/>
  <c r="CD203" i="13"/>
  <c r="BV203" i="13"/>
  <c r="CE203" i="13"/>
  <c r="CJ203" i="13"/>
  <c r="BX203" i="13"/>
  <c r="BW203" i="13"/>
  <c r="BM203" i="13"/>
  <c r="BJ203" i="13"/>
  <c r="AV203" i="13"/>
  <c r="BA203" i="13"/>
  <c r="BN203" i="13"/>
  <c r="BD203" i="13"/>
  <c r="BP203" i="13"/>
  <c r="BQ203" i="13"/>
  <c r="AX203" i="13"/>
  <c r="BE203" i="13"/>
  <c r="BI203" i="13"/>
  <c r="BG203" i="13"/>
  <c r="AT203" i="13"/>
  <c r="AZ203" i="13"/>
  <c r="BL203" i="13"/>
  <c r="BO203" i="13"/>
  <c r="AU203" i="13"/>
  <c r="AY203" i="13"/>
  <c r="AW203" i="13"/>
  <c r="BF203" i="13"/>
  <c r="BH203" i="13"/>
  <c r="BB203" i="13"/>
  <c r="BK203" i="13"/>
  <c r="BC203" i="13"/>
  <c r="A205" i="13"/>
  <c r="AS204" i="13"/>
  <c r="BR204" i="13" l="1"/>
  <c r="BS204" i="13"/>
  <c r="BT204" i="13"/>
  <c r="CB204" i="13"/>
  <c r="BZ204" i="13"/>
  <c r="CC204" i="13"/>
  <c r="CA204" i="13"/>
  <c r="CF204" i="13"/>
  <c r="CE204" i="13"/>
  <c r="BV204" i="13"/>
  <c r="BY204" i="13"/>
  <c r="CG204" i="13"/>
  <c r="BX204" i="13"/>
  <c r="CI204" i="13"/>
  <c r="BW204" i="13"/>
  <c r="BU204" i="13"/>
  <c r="CH204" i="13"/>
  <c r="CJ204" i="13"/>
  <c r="CD204" i="13"/>
  <c r="BO204" i="13"/>
  <c r="AV204" i="13"/>
  <c r="AZ204" i="13"/>
  <c r="BD204" i="13"/>
  <c r="BJ204" i="13"/>
  <c r="BC204" i="13"/>
  <c r="BK204" i="13"/>
  <c r="BH204" i="13"/>
  <c r="AW204" i="13"/>
  <c r="AU204" i="13"/>
  <c r="BA204" i="13"/>
  <c r="BL204" i="13"/>
  <c r="AT204" i="13"/>
  <c r="BG204" i="13"/>
  <c r="BE204" i="13"/>
  <c r="BQ204" i="13"/>
  <c r="BN204" i="13"/>
  <c r="BM204" i="13"/>
  <c r="BP204" i="13"/>
  <c r="BB204" i="13"/>
  <c r="BF204" i="13"/>
  <c r="AY204" i="13"/>
  <c r="BI204" i="13"/>
  <c r="AX204" i="13"/>
  <c r="A206" i="13"/>
  <c r="AS205" i="13"/>
  <c r="BS205" i="13" l="1"/>
  <c r="BT205" i="13"/>
  <c r="BR205" i="13"/>
  <c r="CC205" i="13"/>
  <c r="BZ205" i="13"/>
  <c r="CA205" i="13"/>
  <c r="CB205" i="13"/>
  <c r="CF205" i="13"/>
  <c r="CE205" i="13"/>
  <c r="BW205" i="13"/>
  <c r="CI205" i="13"/>
  <c r="CJ205" i="13"/>
  <c r="BX205" i="13"/>
  <c r="BY205" i="13"/>
  <c r="BV205" i="13"/>
  <c r="BU205" i="13"/>
  <c r="CH205" i="13"/>
  <c r="CG205" i="13"/>
  <c r="CD205" i="13"/>
  <c r="AX205" i="13"/>
  <c r="AZ205" i="13"/>
  <c r="BP205" i="13"/>
  <c r="BE205" i="13"/>
  <c r="BA205" i="13"/>
  <c r="BH205" i="13"/>
  <c r="BD205" i="13"/>
  <c r="BN205" i="13"/>
  <c r="BI205" i="13"/>
  <c r="AV205" i="13"/>
  <c r="AY205" i="13"/>
  <c r="BK205" i="13"/>
  <c r="BB205" i="13"/>
  <c r="BQ205" i="13"/>
  <c r="BL205" i="13"/>
  <c r="AW205" i="13"/>
  <c r="BJ205" i="13"/>
  <c r="BO205" i="13"/>
  <c r="BF205" i="13"/>
  <c r="AT205" i="13"/>
  <c r="BC205" i="13"/>
  <c r="BM205" i="13"/>
  <c r="BG205" i="13"/>
  <c r="AU205" i="13"/>
  <c r="A207" i="13"/>
  <c r="AS206" i="13"/>
  <c r="BR206" i="13" l="1"/>
  <c r="BS206" i="13"/>
  <c r="BT206" i="13"/>
  <c r="CC206" i="13"/>
  <c r="CA206" i="13"/>
  <c r="CB206" i="13"/>
  <c r="BZ206" i="13"/>
  <c r="CF206" i="13"/>
  <c r="CE206" i="13"/>
  <c r="CJ206" i="13"/>
  <c r="BX206" i="13"/>
  <c r="BU206" i="13"/>
  <c r="CH206" i="13"/>
  <c r="BY206" i="13"/>
  <c r="CI206" i="13"/>
  <c r="CG206" i="13"/>
  <c r="CD206" i="13"/>
  <c r="BV206" i="13"/>
  <c r="BW206" i="13"/>
  <c r="BH206" i="13"/>
  <c r="BE206" i="13"/>
  <c r="BA206" i="13"/>
  <c r="BP206" i="13"/>
  <c r="AZ206" i="13"/>
  <c r="AW206" i="13"/>
  <c r="BJ206" i="13"/>
  <c r="BC206" i="13"/>
  <c r="BM206" i="13"/>
  <c r="AT206" i="13"/>
  <c r="BQ206" i="13"/>
  <c r="BB206" i="13"/>
  <c r="BD206" i="13"/>
  <c r="AX206" i="13"/>
  <c r="BK206" i="13"/>
  <c r="AU206" i="13"/>
  <c r="BG206" i="13"/>
  <c r="AY206" i="13"/>
  <c r="AV206" i="13"/>
  <c r="BL206" i="13"/>
  <c r="BO206" i="13"/>
  <c r="BF206" i="13"/>
  <c r="BI206" i="13"/>
  <c r="BN206" i="13"/>
  <c r="A208" i="13"/>
  <c r="AS207" i="13"/>
  <c r="BT207" i="13" l="1"/>
  <c r="BR207" i="13"/>
  <c r="BS207" i="13"/>
  <c r="CB207" i="13"/>
  <c r="CC207" i="13"/>
  <c r="BZ207" i="13"/>
  <c r="CA207" i="13"/>
  <c r="CF207" i="13"/>
  <c r="BW207" i="13"/>
  <c r="CG207" i="13"/>
  <c r="BX207" i="13"/>
  <c r="CE207" i="13"/>
  <c r="BV207" i="13"/>
  <c r="CJ207" i="13"/>
  <c r="CI207" i="13"/>
  <c r="CD207" i="13"/>
  <c r="BY207" i="13"/>
  <c r="BU207" i="13"/>
  <c r="CH207" i="13"/>
  <c r="BB207" i="13"/>
  <c r="AW207" i="13"/>
  <c r="BH207" i="13"/>
  <c r="BF207" i="13"/>
  <c r="AY207" i="13"/>
  <c r="AX207" i="13"/>
  <c r="BJ207" i="13"/>
  <c r="AZ207" i="13"/>
  <c r="BE207" i="13"/>
  <c r="BN207" i="13"/>
  <c r="BI207" i="13"/>
  <c r="BO207" i="13"/>
  <c r="AV207" i="13"/>
  <c r="BG207" i="13"/>
  <c r="BK207" i="13"/>
  <c r="BD207" i="13"/>
  <c r="BC207" i="13"/>
  <c r="BP207" i="13"/>
  <c r="BQ207" i="13"/>
  <c r="BA207" i="13"/>
  <c r="AT207" i="13"/>
  <c r="BL207" i="13"/>
  <c r="AU207" i="13"/>
  <c r="BM207" i="13"/>
  <c r="A209" i="13"/>
  <c r="AS208" i="13"/>
  <c r="BR208" i="13" l="1"/>
  <c r="BT208" i="13"/>
  <c r="BS208" i="13"/>
  <c r="CC208" i="13"/>
  <c r="CB208" i="13"/>
  <c r="CA208" i="13"/>
  <c r="BZ208" i="13"/>
  <c r="CF208" i="13"/>
  <c r="BW208" i="13"/>
  <c r="BY208" i="13"/>
  <c r="BU208" i="13"/>
  <c r="CG208" i="13"/>
  <c r="CI208" i="13"/>
  <c r="BX208" i="13"/>
  <c r="CJ208" i="13"/>
  <c r="CD208" i="13"/>
  <c r="CE208" i="13"/>
  <c r="BV208" i="13"/>
  <c r="CH208" i="13"/>
  <c r="AX208" i="13"/>
  <c r="BF208" i="13"/>
  <c r="BH208" i="13"/>
  <c r="AW208" i="13"/>
  <c r="AV208" i="13"/>
  <c r="BJ208" i="13"/>
  <c r="BB208" i="13"/>
  <c r="BM208" i="13"/>
  <c r="AY208" i="13"/>
  <c r="AT208" i="13"/>
  <c r="BA208" i="13"/>
  <c r="BQ208" i="13"/>
  <c r="AU208" i="13"/>
  <c r="BP208" i="13"/>
  <c r="BD208" i="13"/>
  <c r="BG208" i="13"/>
  <c r="BO208" i="13"/>
  <c r="BN208" i="13"/>
  <c r="AZ208" i="13"/>
  <c r="BL208" i="13"/>
  <c r="BC208" i="13"/>
  <c r="BK208" i="13"/>
  <c r="BI208" i="13"/>
  <c r="BE208" i="13"/>
  <c r="A210" i="13"/>
  <c r="AS209" i="13"/>
  <c r="BS209" i="13" l="1"/>
  <c r="BR209" i="13"/>
  <c r="BT209" i="13"/>
  <c r="CA209" i="13"/>
  <c r="CC209" i="13"/>
  <c r="BZ209" i="13"/>
  <c r="CB209" i="13"/>
  <c r="CF209" i="13"/>
  <c r="BV209" i="13"/>
  <c r="CE209" i="13"/>
  <c r="BX209" i="13"/>
  <c r="BY209" i="13"/>
  <c r="CD209" i="13"/>
  <c r="CI209" i="13"/>
  <c r="CJ209" i="13"/>
  <c r="BW209" i="13"/>
  <c r="CH209" i="13"/>
  <c r="CG209" i="13"/>
  <c r="BU209" i="13"/>
  <c r="AV209" i="13"/>
  <c r="BO209" i="13"/>
  <c r="AU209" i="13"/>
  <c r="BB209" i="13"/>
  <c r="BE209" i="13"/>
  <c r="BC209" i="13"/>
  <c r="BH209" i="13"/>
  <c r="BI209" i="13"/>
  <c r="BL209" i="13"/>
  <c r="BF209" i="13"/>
  <c r="BN209" i="13"/>
  <c r="BG209" i="13"/>
  <c r="BP209" i="13"/>
  <c r="BQ209" i="13"/>
  <c r="AT209" i="13"/>
  <c r="BM209" i="13"/>
  <c r="BJ209" i="13"/>
  <c r="BK209" i="13"/>
  <c r="AW209" i="13"/>
  <c r="AX209" i="13"/>
  <c r="AZ209" i="13"/>
  <c r="BD209" i="13"/>
  <c r="BA209" i="13"/>
  <c r="AY209" i="13"/>
  <c r="A211" i="13"/>
  <c r="AS210" i="13"/>
  <c r="BS210" i="13" l="1"/>
  <c r="BR210" i="13"/>
  <c r="BT210" i="13"/>
  <c r="CB210" i="13"/>
  <c r="CA210" i="13"/>
  <c r="BZ210" i="13"/>
  <c r="CC210" i="13"/>
  <c r="CF210" i="13"/>
  <c r="CI210" i="13"/>
  <c r="CJ210" i="13"/>
  <c r="BW210" i="13"/>
  <c r="BU210" i="13"/>
  <c r="CG210" i="13"/>
  <c r="CH210" i="13"/>
  <c r="BX210" i="13"/>
  <c r="BY210" i="13"/>
  <c r="BV210" i="13"/>
  <c r="CD210" i="13"/>
  <c r="CE210" i="13"/>
  <c r="BM210" i="13"/>
  <c r="BQ210" i="13"/>
  <c r="BG210" i="13"/>
  <c r="BL210" i="13"/>
  <c r="BH210" i="13"/>
  <c r="BE210" i="13"/>
  <c r="AT210" i="13"/>
  <c r="BN210" i="13"/>
  <c r="BC210" i="13"/>
  <c r="AY210" i="13"/>
  <c r="BD210" i="13"/>
  <c r="AW210" i="13"/>
  <c r="BB210" i="13"/>
  <c r="AU210" i="13"/>
  <c r="AX210" i="13"/>
  <c r="BA210" i="13"/>
  <c r="AZ210" i="13"/>
  <c r="BK210" i="13"/>
  <c r="AV210" i="13"/>
  <c r="BP210" i="13"/>
  <c r="BF210" i="13"/>
  <c r="BI210" i="13"/>
  <c r="BO210" i="13"/>
  <c r="BJ210" i="13"/>
  <c r="A212" i="13"/>
  <c r="AS211" i="13"/>
  <c r="BT211" i="13" l="1"/>
  <c r="BS211" i="13"/>
  <c r="BR211" i="13"/>
  <c r="BZ211" i="13"/>
  <c r="CA211" i="13"/>
  <c r="CB211" i="13"/>
  <c r="CC211" i="13"/>
  <c r="CF211" i="13"/>
  <c r="BY211" i="13"/>
  <c r="CE211" i="13"/>
  <c r="BU211" i="13"/>
  <c r="CG211" i="13"/>
  <c r="BW211" i="13"/>
  <c r="BV211" i="13"/>
  <c r="CD211" i="13"/>
  <c r="CI211" i="13"/>
  <c r="BX211" i="13"/>
  <c r="CJ211" i="13"/>
  <c r="CH211" i="13"/>
  <c r="BH211" i="13"/>
  <c r="BQ211" i="13"/>
  <c r="BD211" i="13"/>
  <c r="BO211" i="13"/>
  <c r="BC211" i="13"/>
  <c r="BF211" i="13"/>
  <c r="BP211" i="13"/>
  <c r="AV211" i="13"/>
  <c r="BL211" i="13"/>
  <c r="BM211" i="13"/>
  <c r="BK211" i="13"/>
  <c r="BA211" i="13"/>
  <c r="AU211" i="13"/>
  <c r="AW211" i="13"/>
  <c r="BJ211" i="13"/>
  <c r="AY211" i="13"/>
  <c r="BI211" i="13"/>
  <c r="BN211" i="13"/>
  <c r="AT211" i="13"/>
  <c r="BE211" i="13"/>
  <c r="BG211" i="13"/>
  <c r="AZ211" i="13"/>
  <c r="AX211" i="13"/>
  <c r="BB211" i="13"/>
  <c r="A213" i="13"/>
  <c r="AS212" i="13"/>
  <c r="BS212" i="13" l="1"/>
  <c r="BR212" i="13"/>
  <c r="BT212" i="13"/>
  <c r="CC212" i="13"/>
  <c r="CA212" i="13"/>
  <c r="CB212" i="13"/>
  <c r="BZ212" i="13"/>
  <c r="CF212" i="13"/>
  <c r="CI212" i="13"/>
  <c r="BY212" i="13"/>
  <c r="CG212" i="13"/>
  <c r="CH212" i="13"/>
  <c r="CE212" i="13"/>
  <c r="CD212" i="13"/>
  <c r="BU212" i="13"/>
  <c r="BV212" i="13"/>
  <c r="CJ212" i="13"/>
  <c r="BW212" i="13"/>
  <c r="BX212" i="13"/>
  <c r="BL212" i="13"/>
  <c r="BD212" i="13"/>
  <c r="BB212" i="13"/>
  <c r="AZ212" i="13"/>
  <c r="BG212" i="13"/>
  <c r="AT212" i="13"/>
  <c r="BI212" i="13"/>
  <c r="BJ212" i="13"/>
  <c r="BA212" i="13"/>
  <c r="BM212" i="13"/>
  <c r="AV212" i="13"/>
  <c r="BF212" i="13"/>
  <c r="BO212" i="13"/>
  <c r="BQ212" i="13"/>
  <c r="AX212" i="13"/>
  <c r="BE212" i="13"/>
  <c r="BN212" i="13"/>
  <c r="AY212" i="13"/>
  <c r="AW212" i="13"/>
  <c r="AU212" i="13"/>
  <c r="BK212" i="13"/>
  <c r="BP212" i="13"/>
  <c r="BC212" i="13"/>
  <c r="BH212" i="13"/>
  <c r="A214" i="13"/>
  <c r="AS213" i="13"/>
  <c r="BR213" i="13" l="1"/>
  <c r="BT213" i="13"/>
  <c r="BS213" i="13"/>
  <c r="CB213" i="13"/>
  <c r="BZ213" i="13"/>
  <c r="CA213" i="13"/>
  <c r="CC213" i="13"/>
  <c r="CF213" i="13"/>
  <c r="CH213" i="13"/>
  <c r="BW213" i="13"/>
  <c r="BY213" i="13"/>
  <c r="BV213" i="13"/>
  <c r="BU213" i="13"/>
  <c r="CJ213" i="13"/>
  <c r="CG213" i="13"/>
  <c r="BX213" i="13"/>
  <c r="CI213" i="13"/>
  <c r="CD213" i="13"/>
  <c r="CE213" i="13"/>
  <c r="BI213" i="13"/>
  <c r="BG213" i="13"/>
  <c r="BB213" i="13"/>
  <c r="BH213" i="13"/>
  <c r="BC213" i="13"/>
  <c r="BL213" i="13"/>
  <c r="AU213" i="13"/>
  <c r="AY213" i="13"/>
  <c r="BE213" i="13"/>
  <c r="AX213" i="13"/>
  <c r="BO213" i="13"/>
  <c r="AV213" i="13"/>
  <c r="BA213" i="13"/>
  <c r="BJ213" i="13"/>
  <c r="AT213" i="13"/>
  <c r="AZ213" i="13"/>
  <c r="BD213" i="13"/>
  <c r="BP213" i="13"/>
  <c r="BK213" i="13"/>
  <c r="AW213" i="13"/>
  <c r="BN213" i="13"/>
  <c r="BQ213" i="13"/>
  <c r="BF213" i="13"/>
  <c r="BM213" i="13"/>
  <c r="A215" i="13"/>
  <c r="AS214" i="13"/>
  <c r="BS214" i="13" l="1"/>
  <c r="BR214" i="13"/>
  <c r="BT214" i="13"/>
  <c r="CC214" i="13"/>
  <c r="CB214" i="13"/>
  <c r="CA214" i="13"/>
  <c r="BZ214" i="13"/>
  <c r="CF214" i="13"/>
  <c r="BX214" i="13"/>
  <c r="BU214" i="13"/>
  <c r="CE214" i="13"/>
  <c r="BW214" i="13"/>
  <c r="CH214" i="13"/>
  <c r="CJ214" i="13"/>
  <c r="CD214" i="13"/>
  <c r="CG214" i="13"/>
  <c r="BV214" i="13"/>
  <c r="CI214" i="13"/>
  <c r="BY214" i="13"/>
  <c r="AZ214" i="13"/>
  <c r="AX214" i="13"/>
  <c r="BL214" i="13"/>
  <c r="BB214" i="13"/>
  <c r="BI214" i="13"/>
  <c r="BM214" i="13"/>
  <c r="BQ214" i="13"/>
  <c r="BN214" i="13"/>
  <c r="BK214" i="13"/>
  <c r="BD214" i="13"/>
  <c r="AT214" i="13"/>
  <c r="BA214" i="13"/>
  <c r="BO214" i="13"/>
  <c r="BE214" i="13"/>
  <c r="AU214" i="13"/>
  <c r="BC214" i="13"/>
  <c r="BG214" i="13"/>
  <c r="BF214" i="13"/>
  <c r="AW214" i="13"/>
  <c r="BP214" i="13"/>
  <c r="BJ214" i="13"/>
  <c r="AV214" i="13"/>
  <c r="AY214" i="13"/>
  <c r="BH214" i="13"/>
  <c r="A216" i="13"/>
  <c r="AS215" i="13"/>
  <c r="BR215" i="13" l="1"/>
  <c r="BT215" i="13"/>
  <c r="BS215" i="13"/>
  <c r="BZ215" i="13"/>
  <c r="CB215" i="13"/>
  <c r="CA215" i="13"/>
  <c r="CC215" i="13"/>
  <c r="CF215" i="13"/>
  <c r="CE215" i="13"/>
  <c r="CJ215" i="13"/>
  <c r="CD215" i="13"/>
  <c r="BY215" i="13"/>
  <c r="CH215" i="13"/>
  <c r="CI215" i="13"/>
  <c r="BX215" i="13"/>
  <c r="CG215" i="13"/>
  <c r="BV215" i="13"/>
  <c r="BU215" i="13"/>
  <c r="BW215" i="13"/>
  <c r="BH215" i="13"/>
  <c r="AV215" i="13"/>
  <c r="AW215" i="13"/>
  <c r="AU215" i="13"/>
  <c r="AT215" i="13"/>
  <c r="BQ215" i="13"/>
  <c r="BE215" i="13"/>
  <c r="BD215" i="13"/>
  <c r="BM215" i="13"/>
  <c r="AX215" i="13"/>
  <c r="BP215" i="13"/>
  <c r="BF215" i="13"/>
  <c r="BC215" i="13"/>
  <c r="BA215" i="13"/>
  <c r="BN215" i="13"/>
  <c r="BB215" i="13"/>
  <c r="AY215" i="13"/>
  <c r="AZ215" i="13"/>
  <c r="BG215" i="13"/>
  <c r="BO215" i="13"/>
  <c r="BK215" i="13"/>
  <c r="BI215" i="13"/>
  <c r="BL215" i="13"/>
  <c r="BJ215" i="13"/>
  <c r="A217" i="13"/>
  <c r="AS216" i="13"/>
  <c r="BS216" i="13" l="1"/>
  <c r="BT216" i="13"/>
  <c r="BR216" i="13"/>
  <c r="CB216" i="13"/>
  <c r="CA216" i="13"/>
  <c r="BZ216" i="13"/>
  <c r="CC216" i="13"/>
  <c r="CF216" i="13"/>
  <c r="BX216" i="13"/>
  <c r="CE216" i="13"/>
  <c r="CI216" i="13"/>
  <c r="BU216" i="13"/>
  <c r="CJ216" i="13"/>
  <c r="BW216" i="13"/>
  <c r="CH216" i="13"/>
  <c r="CD216" i="13"/>
  <c r="CG216" i="13"/>
  <c r="BV216" i="13"/>
  <c r="BY216" i="13"/>
  <c r="BL216" i="13"/>
  <c r="AY216" i="13"/>
  <c r="BF216" i="13"/>
  <c r="AX216" i="13"/>
  <c r="BD216" i="13"/>
  <c r="AW216" i="13"/>
  <c r="AV216" i="13"/>
  <c r="BH216" i="13"/>
  <c r="BA216" i="13"/>
  <c r="BM216" i="13"/>
  <c r="BB216" i="13"/>
  <c r="BN216" i="13"/>
  <c r="BC216" i="13"/>
  <c r="BQ216" i="13"/>
  <c r="AT216" i="13"/>
  <c r="AU216" i="13"/>
  <c r="BJ216" i="13"/>
  <c r="BK216" i="13"/>
  <c r="BO216" i="13"/>
  <c r="BG216" i="13"/>
  <c r="AZ216" i="13"/>
  <c r="BP216" i="13"/>
  <c r="BI216" i="13"/>
  <c r="BE216" i="13"/>
  <c r="A218" i="13"/>
  <c r="AS217" i="13"/>
  <c r="BT217" i="13" l="1"/>
  <c r="BS217" i="13"/>
  <c r="BR217" i="13"/>
  <c r="CC217" i="13"/>
  <c r="BZ217" i="13"/>
  <c r="CA217" i="13"/>
  <c r="CB217" i="13"/>
  <c r="CF217" i="13"/>
  <c r="CE217" i="13"/>
  <c r="BW217" i="13"/>
  <c r="CJ217" i="13"/>
  <c r="CH217" i="13"/>
  <c r="BY217" i="13"/>
  <c r="CI217" i="13"/>
  <c r="BU217" i="13"/>
  <c r="BX217" i="13"/>
  <c r="CD217" i="13"/>
  <c r="CG217" i="13"/>
  <c r="BV217" i="13"/>
  <c r="BL217" i="13"/>
  <c r="BI217" i="13"/>
  <c r="AW217" i="13"/>
  <c r="AX217" i="13"/>
  <c r="BF217" i="13"/>
  <c r="AZ217" i="13"/>
  <c r="BA217" i="13"/>
  <c r="BG217" i="13"/>
  <c r="BK217" i="13"/>
  <c r="AU217" i="13"/>
  <c r="BQ217" i="13"/>
  <c r="BN217" i="13"/>
  <c r="BE217" i="13"/>
  <c r="BH217" i="13"/>
  <c r="BD217" i="13"/>
  <c r="BP217" i="13"/>
  <c r="AY217" i="13"/>
  <c r="BM217" i="13"/>
  <c r="AV217" i="13"/>
  <c r="BO217" i="13"/>
  <c r="BJ217" i="13"/>
  <c r="AT217" i="13"/>
  <c r="BC217" i="13"/>
  <c r="BB217" i="13"/>
  <c r="A219" i="13"/>
  <c r="AS218" i="13"/>
  <c r="BT218" i="13" l="1"/>
  <c r="BR218" i="13"/>
  <c r="BS218" i="13"/>
  <c r="CC218" i="13"/>
  <c r="CA218" i="13"/>
  <c r="CB218" i="13"/>
  <c r="BZ218" i="13"/>
  <c r="CF218" i="13"/>
  <c r="BY218" i="13"/>
  <c r="CE218" i="13"/>
  <c r="BW218" i="13"/>
  <c r="CG218" i="13"/>
  <c r="CI218" i="13"/>
  <c r="CH218" i="13"/>
  <c r="BU218" i="13"/>
  <c r="CD218" i="13"/>
  <c r="CJ218" i="13"/>
  <c r="BX218" i="13"/>
  <c r="BV218" i="13"/>
  <c r="BI218" i="13"/>
  <c r="BJ218" i="13"/>
  <c r="AV218" i="13"/>
  <c r="BP218" i="13"/>
  <c r="BH218" i="13"/>
  <c r="BN218" i="13"/>
  <c r="AU218" i="13"/>
  <c r="BG218" i="13"/>
  <c r="BB218" i="13"/>
  <c r="AT218" i="13"/>
  <c r="BO218" i="13"/>
  <c r="BM218" i="13"/>
  <c r="AY218" i="13"/>
  <c r="BD218" i="13"/>
  <c r="BE218" i="13"/>
  <c r="BQ218" i="13"/>
  <c r="BK218" i="13"/>
  <c r="BA218" i="13"/>
  <c r="AZ218" i="13"/>
  <c r="AX218" i="13"/>
  <c r="BC218" i="13"/>
  <c r="BF218" i="13"/>
  <c r="AW218" i="13"/>
  <c r="BL218" i="13"/>
  <c r="A220" i="13"/>
  <c r="AS219" i="13"/>
  <c r="BR219" i="13" l="1"/>
  <c r="BT219" i="13"/>
  <c r="BS219" i="13"/>
  <c r="CB219" i="13"/>
  <c r="CC219" i="13"/>
  <c r="BZ219" i="13"/>
  <c r="CA219" i="13"/>
  <c r="CF219" i="13"/>
  <c r="BV219" i="13"/>
  <c r="BX219" i="13"/>
  <c r="CD219" i="13"/>
  <c r="BY219" i="13"/>
  <c r="CG219" i="13"/>
  <c r="CE219" i="13"/>
  <c r="CJ219" i="13"/>
  <c r="BU219" i="13"/>
  <c r="BW219" i="13"/>
  <c r="CH219" i="13"/>
  <c r="CI219" i="13"/>
  <c r="AX219" i="13"/>
  <c r="BQ219" i="13"/>
  <c r="AT219" i="13"/>
  <c r="BG219" i="13"/>
  <c r="BP219" i="13"/>
  <c r="BE219" i="13"/>
  <c r="BB219" i="13"/>
  <c r="BL219" i="13"/>
  <c r="AU219" i="13"/>
  <c r="BH219" i="13"/>
  <c r="AV219" i="13"/>
  <c r="BF219" i="13"/>
  <c r="BJ219" i="13"/>
  <c r="BA219" i="13"/>
  <c r="BD219" i="13"/>
  <c r="BM219" i="13"/>
  <c r="AW219" i="13"/>
  <c r="BN219" i="13"/>
  <c r="BC219" i="13"/>
  <c r="BI219" i="13"/>
  <c r="AZ219" i="13"/>
  <c r="BK219" i="13"/>
  <c r="AY219" i="13"/>
  <c r="BO219" i="13"/>
  <c r="A221" i="13"/>
  <c r="AS220" i="13"/>
  <c r="BS220" i="13" l="1"/>
  <c r="BT220" i="13"/>
  <c r="BR220" i="13"/>
  <c r="CC220" i="13"/>
  <c r="CB220" i="13"/>
  <c r="CA220" i="13"/>
  <c r="BZ220" i="13"/>
  <c r="CF220" i="13"/>
  <c r="CH220" i="13"/>
  <c r="CJ220" i="13"/>
  <c r="BU220" i="13"/>
  <c r="CG220" i="13"/>
  <c r="BX220" i="13"/>
  <c r="BW220" i="13"/>
  <c r="CE220" i="13"/>
  <c r="BY220" i="13"/>
  <c r="CI220" i="13"/>
  <c r="CD220" i="13"/>
  <c r="BV220" i="13"/>
  <c r="BP220" i="13"/>
  <c r="BB220" i="13"/>
  <c r="BE220" i="13"/>
  <c r="BI220" i="13"/>
  <c r="BN220" i="13"/>
  <c r="AT220" i="13"/>
  <c r="BD220" i="13"/>
  <c r="BA220" i="13"/>
  <c r="BJ220" i="13"/>
  <c r="AV220" i="13"/>
  <c r="AU220" i="13"/>
  <c r="BL220" i="13"/>
  <c r="BG220" i="13"/>
  <c r="AZ220" i="13"/>
  <c r="AW220" i="13"/>
  <c r="BM220" i="13"/>
  <c r="AX220" i="13"/>
  <c r="BH220" i="13"/>
  <c r="AY220" i="13"/>
  <c r="BO220" i="13"/>
  <c r="BC220" i="13"/>
  <c r="BQ220" i="13"/>
  <c r="BF220" i="13"/>
  <c r="BK220" i="13"/>
  <c r="A222" i="13"/>
  <c r="AS221" i="13"/>
  <c r="BS221" i="13" l="1"/>
  <c r="BT221" i="13"/>
  <c r="BR221" i="13"/>
  <c r="CA221" i="13"/>
  <c r="CC221" i="13"/>
  <c r="BZ221" i="13"/>
  <c r="CB221" i="13"/>
  <c r="CF221" i="13"/>
  <c r="BX221" i="13"/>
  <c r="CG221" i="13"/>
  <c r="BV221" i="13"/>
  <c r="CH221" i="13"/>
  <c r="CI221" i="13"/>
  <c r="BU221" i="13"/>
  <c r="CJ221" i="13"/>
  <c r="CD221" i="13"/>
  <c r="BY221" i="13"/>
  <c r="CE221" i="13"/>
  <c r="BW221" i="13"/>
  <c r="BK221" i="13"/>
  <c r="AT221" i="13"/>
  <c r="AX221" i="13"/>
  <c r="BM221" i="13"/>
  <c r="BC221" i="13"/>
  <c r="BL221" i="13"/>
  <c r="BE221" i="13"/>
  <c r="BH221" i="13"/>
  <c r="AU221" i="13"/>
  <c r="BA221" i="13"/>
  <c r="BI221" i="13"/>
  <c r="BP221" i="13"/>
  <c r="BF221" i="13"/>
  <c r="BQ221" i="13"/>
  <c r="AW221" i="13"/>
  <c r="AZ221" i="13"/>
  <c r="BG221" i="13"/>
  <c r="AV221" i="13"/>
  <c r="BN221" i="13"/>
  <c r="AY221" i="13"/>
  <c r="BJ221" i="13"/>
  <c r="BB221" i="13"/>
  <c r="BO221" i="13"/>
  <c r="BD221" i="13"/>
  <c r="A223" i="13"/>
  <c r="AS222" i="13"/>
  <c r="BT222" i="13" l="1"/>
  <c r="BR222" i="13"/>
  <c r="BS222" i="13"/>
  <c r="CA222" i="13"/>
  <c r="BZ222" i="13"/>
  <c r="CC222" i="13"/>
  <c r="CB222" i="13"/>
  <c r="CF222" i="13"/>
  <c r="CH222" i="13"/>
  <c r="CJ222" i="13"/>
  <c r="BY222" i="13"/>
  <c r="BX222" i="13"/>
  <c r="CE222" i="13"/>
  <c r="CD222" i="13"/>
  <c r="CG222" i="13"/>
  <c r="BU222" i="13"/>
  <c r="CI222" i="13"/>
  <c r="BW222" i="13"/>
  <c r="BV222" i="13"/>
  <c r="BE222" i="13"/>
  <c r="BD222" i="13"/>
  <c r="BJ222" i="13"/>
  <c r="AV222" i="13"/>
  <c r="BQ222" i="13"/>
  <c r="BA222" i="13"/>
  <c r="BH222" i="13"/>
  <c r="BO222" i="13"/>
  <c r="AX222" i="13"/>
  <c r="AT222" i="13"/>
  <c r="BL222" i="13"/>
  <c r="AY222" i="13"/>
  <c r="BN222" i="13"/>
  <c r="BG222" i="13"/>
  <c r="AW222" i="13"/>
  <c r="BF222" i="13"/>
  <c r="BI222" i="13"/>
  <c r="AU222" i="13"/>
  <c r="BC222" i="13"/>
  <c r="BB222" i="13"/>
  <c r="BM222" i="13"/>
  <c r="BK222" i="13"/>
  <c r="AZ222" i="13"/>
  <c r="BP222" i="13"/>
  <c r="A224" i="13"/>
  <c r="AS223" i="13"/>
  <c r="BS223" i="13" l="1"/>
  <c r="BR223" i="13"/>
  <c r="BT223" i="13"/>
  <c r="CA223" i="13"/>
  <c r="CC223" i="13"/>
  <c r="BZ223" i="13"/>
  <c r="CB223" i="13"/>
  <c r="CF223" i="13"/>
  <c r="CJ223" i="13"/>
  <c r="CE223" i="13"/>
  <c r="BU223" i="13"/>
  <c r="CI223" i="13"/>
  <c r="BV223" i="13"/>
  <c r="BW223" i="13"/>
  <c r="BY223" i="13"/>
  <c r="CH223" i="13"/>
  <c r="BX223" i="13"/>
  <c r="CG223" i="13"/>
  <c r="CD223" i="13"/>
  <c r="AT223" i="13"/>
  <c r="BO223" i="13"/>
  <c r="BA223" i="13"/>
  <c r="BQ223" i="13"/>
  <c r="AV223" i="13"/>
  <c r="BJ223" i="13"/>
  <c r="BD223" i="13"/>
  <c r="BC223" i="13"/>
  <c r="AU223" i="13"/>
  <c r="BF223" i="13"/>
  <c r="BG223" i="13"/>
  <c r="AY223" i="13"/>
  <c r="BL223" i="13"/>
  <c r="AX223" i="13"/>
  <c r="BH223" i="13"/>
  <c r="BP223" i="13"/>
  <c r="AZ223" i="13"/>
  <c r="BK223" i="13"/>
  <c r="BM223" i="13"/>
  <c r="BB223" i="13"/>
  <c r="BE223" i="13"/>
  <c r="BI223" i="13"/>
  <c r="AW223" i="13"/>
  <c r="BN223" i="13"/>
  <c r="A225" i="13"/>
  <c r="AS224" i="13"/>
  <c r="BR224" i="13" l="1"/>
  <c r="BS224" i="13"/>
  <c r="BT224" i="13"/>
  <c r="CC224" i="13"/>
  <c r="BZ224" i="13"/>
  <c r="CA224" i="13"/>
  <c r="CB224" i="13"/>
  <c r="CF224" i="13"/>
  <c r="CD224" i="13"/>
  <c r="BX224" i="13"/>
  <c r="BY224" i="13"/>
  <c r="BV224" i="13"/>
  <c r="BU224" i="13"/>
  <c r="CJ224" i="13"/>
  <c r="CG224" i="13"/>
  <c r="CH224" i="13"/>
  <c r="BW224" i="13"/>
  <c r="CI224" i="13"/>
  <c r="CE224" i="13"/>
  <c r="A226" i="13"/>
  <c r="AS225" i="13"/>
  <c r="BB224" i="13"/>
  <c r="AX224" i="13"/>
  <c r="BC224" i="13"/>
  <c r="BQ224" i="13"/>
  <c r="BO224" i="13"/>
  <c r="AW224" i="13"/>
  <c r="BE224" i="13"/>
  <c r="BM224" i="13"/>
  <c r="AZ224" i="13"/>
  <c r="BH224" i="13"/>
  <c r="BL224" i="13"/>
  <c r="BG224" i="13"/>
  <c r="AU224" i="13"/>
  <c r="BD224" i="13"/>
  <c r="AV224" i="13"/>
  <c r="BA224" i="13"/>
  <c r="AT224" i="13"/>
  <c r="BN224" i="13"/>
  <c r="BI224" i="13"/>
  <c r="BK224" i="13"/>
  <c r="BP224" i="13"/>
  <c r="AY224" i="13"/>
  <c r="BF224" i="13"/>
  <c r="BJ224" i="13"/>
  <c r="BS225" i="13" l="1"/>
  <c r="BR225" i="13"/>
  <c r="BT225" i="13"/>
  <c r="CC225" i="13"/>
  <c r="CB225" i="13"/>
  <c r="BZ225" i="13"/>
  <c r="CA225" i="13"/>
  <c r="CF225" i="13"/>
  <c r="BX225" i="13"/>
  <c r="BW225" i="13"/>
  <c r="CG225" i="13"/>
  <c r="CJ225" i="13"/>
  <c r="BV225" i="13"/>
  <c r="BY225" i="13"/>
  <c r="CD225" i="13"/>
  <c r="CI225" i="13"/>
  <c r="CH225" i="13"/>
  <c r="CE225" i="13"/>
  <c r="BU225" i="13"/>
  <c r="BQ225" i="13"/>
  <c r="AY225" i="13"/>
  <c r="BB225" i="13"/>
  <c r="BA225" i="13"/>
  <c r="BG225" i="13"/>
  <c r="BM225" i="13"/>
  <c r="BH225" i="13"/>
  <c r="AX225" i="13"/>
  <c r="BF225" i="13"/>
  <c r="BK225" i="13"/>
  <c r="AT225" i="13"/>
  <c r="AU225" i="13"/>
  <c r="AZ225" i="13"/>
  <c r="BC225" i="13"/>
  <c r="BP225" i="13"/>
  <c r="BN225" i="13"/>
  <c r="BD225" i="13"/>
  <c r="AW225" i="13"/>
  <c r="BJ225" i="13"/>
  <c r="BI225" i="13"/>
  <c r="AV225" i="13"/>
  <c r="BL225" i="13"/>
  <c r="BE225" i="13"/>
  <c r="BO225" i="13"/>
  <c r="A227" i="13"/>
  <c r="AS226" i="13"/>
  <c r="BT226" i="13" l="1"/>
  <c r="BR226" i="13"/>
  <c r="BS226" i="13"/>
  <c r="BZ226" i="13"/>
  <c r="CC226" i="13"/>
  <c r="CA226" i="13"/>
  <c r="CB226" i="13"/>
  <c r="CF226" i="13"/>
  <c r="BV226" i="13"/>
  <c r="CE226" i="13"/>
  <c r="BU226" i="13"/>
  <c r="CH226" i="13"/>
  <c r="CJ226" i="13"/>
  <c r="BW226" i="13"/>
  <c r="BX226" i="13"/>
  <c r="CI226" i="13"/>
  <c r="BY226" i="13"/>
  <c r="CG226" i="13"/>
  <c r="CD226" i="13"/>
  <c r="AU226" i="13"/>
  <c r="AT226" i="13"/>
  <c r="BK226" i="13"/>
  <c r="BF226" i="13"/>
  <c r="BJ226" i="13"/>
  <c r="BP226" i="13"/>
  <c r="BO226" i="13"/>
  <c r="BE226" i="13"/>
  <c r="BL226" i="13"/>
  <c r="AV226" i="13"/>
  <c r="BI226" i="13"/>
  <c r="AX226" i="13"/>
  <c r="BH226" i="13"/>
  <c r="BQ226" i="13"/>
  <c r="BM226" i="13"/>
  <c r="BG226" i="13"/>
  <c r="BA226" i="13"/>
  <c r="BB226" i="13"/>
  <c r="AY226" i="13"/>
  <c r="BC226" i="13"/>
  <c r="AZ226" i="13"/>
  <c r="AW226" i="13"/>
  <c r="BD226" i="13"/>
  <c r="BN226" i="13"/>
  <c r="A228" i="13"/>
  <c r="AS227" i="13"/>
  <c r="BS227" i="13" l="1"/>
  <c r="BR227" i="13"/>
  <c r="BT227" i="13"/>
  <c r="BZ227" i="13"/>
  <c r="CC227" i="13"/>
  <c r="CB227" i="13"/>
  <c r="CA227" i="13"/>
  <c r="CF227" i="13"/>
  <c r="BW227" i="13"/>
  <c r="CH227" i="13"/>
  <c r="CG227" i="13"/>
  <c r="BY227" i="13"/>
  <c r="CE227" i="13"/>
  <c r="BV227" i="13"/>
  <c r="CI227" i="13"/>
  <c r="CD227" i="13"/>
  <c r="BX227" i="13"/>
  <c r="CJ227" i="13"/>
  <c r="BU227" i="13"/>
  <c r="AX227" i="13"/>
  <c r="AV227" i="13"/>
  <c r="BE227" i="13"/>
  <c r="BP227" i="13"/>
  <c r="BF227" i="13"/>
  <c r="AT227" i="13"/>
  <c r="BN227" i="13"/>
  <c r="AW227" i="13"/>
  <c r="BC227" i="13"/>
  <c r="BB227" i="13"/>
  <c r="BG227" i="13"/>
  <c r="BH227" i="13"/>
  <c r="BI227" i="13"/>
  <c r="BL227" i="13"/>
  <c r="BO227" i="13"/>
  <c r="BJ227" i="13"/>
  <c r="BK227" i="13"/>
  <c r="AU227" i="13"/>
  <c r="BD227" i="13"/>
  <c r="AZ227" i="13"/>
  <c r="AY227" i="13"/>
  <c r="BA227" i="13"/>
  <c r="BM227" i="13"/>
  <c r="BQ227" i="13"/>
  <c r="A229" i="13"/>
  <c r="AS228" i="13"/>
  <c r="BR228" i="13" l="1"/>
  <c r="BT228" i="13"/>
  <c r="BS228" i="13"/>
  <c r="BZ228" i="13"/>
  <c r="CA228" i="13"/>
  <c r="CB228" i="13"/>
  <c r="CC228" i="13"/>
  <c r="CF228" i="13"/>
  <c r="BU228" i="13"/>
  <c r="BY228" i="13"/>
  <c r="CH228" i="13"/>
  <c r="CJ228" i="13"/>
  <c r="CI228" i="13"/>
  <c r="CE228" i="13"/>
  <c r="BX228" i="13"/>
  <c r="CG228" i="13"/>
  <c r="BW228" i="13"/>
  <c r="CD228" i="13"/>
  <c r="BV228" i="13"/>
  <c r="BQ228" i="13"/>
  <c r="BA228" i="13"/>
  <c r="AZ228" i="13"/>
  <c r="AU228" i="13"/>
  <c r="BJ228" i="13"/>
  <c r="BL228" i="13"/>
  <c r="BH228" i="13"/>
  <c r="BG228" i="13"/>
  <c r="BC228" i="13"/>
  <c r="BN228" i="13"/>
  <c r="BF228" i="13"/>
  <c r="BE228" i="13"/>
  <c r="AX228" i="13"/>
  <c r="BM228" i="13"/>
  <c r="AY228" i="13"/>
  <c r="BD228" i="13"/>
  <c r="BK228" i="13"/>
  <c r="BO228" i="13"/>
  <c r="BI228" i="13"/>
  <c r="BB228" i="13"/>
  <c r="AW228" i="13"/>
  <c r="AT228" i="13"/>
  <c r="BP228" i="13"/>
  <c r="AV228" i="13"/>
  <c r="A230" i="13"/>
  <c r="AS229" i="13"/>
  <c r="BS229" i="13" l="1"/>
  <c r="BT229" i="13"/>
  <c r="BR229" i="13"/>
  <c r="CC229" i="13"/>
  <c r="CB229" i="13"/>
  <c r="BZ229" i="13"/>
  <c r="CA229" i="13"/>
  <c r="CF229" i="13"/>
  <c r="CD229" i="13"/>
  <c r="BX229" i="13"/>
  <c r="CI229" i="13"/>
  <c r="CH229" i="13"/>
  <c r="BU229" i="13"/>
  <c r="BW229" i="13"/>
  <c r="BV229" i="13"/>
  <c r="CG229" i="13"/>
  <c r="CE229" i="13"/>
  <c r="CJ229" i="13"/>
  <c r="BY229" i="13"/>
  <c r="AV229" i="13"/>
  <c r="AT229" i="13"/>
  <c r="BB229" i="13"/>
  <c r="BI229" i="13"/>
  <c r="BK229" i="13"/>
  <c r="AY229" i="13"/>
  <c r="AX229" i="13"/>
  <c r="BF229" i="13"/>
  <c r="BC229" i="13"/>
  <c r="BH229" i="13"/>
  <c r="BJ229" i="13"/>
  <c r="AZ229" i="13"/>
  <c r="BQ229" i="13"/>
  <c r="BP229" i="13"/>
  <c r="AW229" i="13"/>
  <c r="BO229" i="13"/>
  <c r="BD229" i="13"/>
  <c r="BM229" i="13"/>
  <c r="BE229" i="13"/>
  <c r="BN229" i="13"/>
  <c r="BG229" i="13"/>
  <c r="BL229" i="13"/>
  <c r="AU229" i="13"/>
  <c r="BA229" i="13"/>
  <c r="A231" i="13"/>
  <c r="AS230" i="13"/>
  <c r="BT230" i="13" l="1"/>
  <c r="BS230" i="13"/>
  <c r="BR230" i="13"/>
  <c r="BZ230" i="13"/>
  <c r="CA230" i="13"/>
  <c r="CB230" i="13"/>
  <c r="CC230" i="13"/>
  <c r="CF230" i="13"/>
  <c r="CG230" i="13"/>
  <c r="BV230" i="13"/>
  <c r="CH230" i="13"/>
  <c r="BX230" i="13"/>
  <c r="CJ230" i="13"/>
  <c r="CE230" i="13"/>
  <c r="BU230" i="13"/>
  <c r="CI230" i="13"/>
  <c r="BY230" i="13"/>
  <c r="BW230" i="13"/>
  <c r="CD230" i="13"/>
  <c r="BA230" i="13"/>
  <c r="BL230" i="13"/>
  <c r="BN230" i="13"/>
  <c r="BM230" i="13"/>
  <c r="BO230" i="13"/>
  <c r="AW230" i="13"/>
  <c r="BQ230" i="13"/>
  <c r="BJ230" i="13"/>
  <c r="BC230" i="13"/>
  <c r="AX230" i="13"/>
  <c r="BK230" i="13"/>
  <c r="BB230" i="13"/>
  <c r="AV230" i="13"/>
  <c r="AU230" i="13"/>
  <c r="BG230" i="13"/>
  <c r="BE230" i="13"/>
  <c r="BD230" i="13"/>
  <c r="BP230" i="13"/>
  <c r="AZ230" i="13"/>
  <c r="BH230" i="13"/>
  <c r="BF230" i="13"/>
  <c r="AY230" i="13"/>
  <c r="BI230" i="13"/>
  <c r="AT230" i="13"/>
  <c r="A232" i="13"/>
  <c r="AS231" i="13"/>
  <c r="BT231" i="13" l="1"/>
  <c r="BS231" i="13"/>
  <c r="BR231" i="13"/>
  <c r="CC231" i="13"/>
  <c r="CB231" i="13"/>
  <c r="BZ231" i="13"/>
  <c r="CA231" i="13"/>
  <c r="CF231" i="13"/>
  <c r="CD231" i="13"/>
  <c r="BU231" i="13"/>
  <c r="CJ231" i="13"/>
  <c r="BX231" i="13"/>
  <c r="BV231" i="13"/>
  <c r="CG231" i="13"/>
  <c r="CE231" i="13"/>
  <c r="CI231" i="13"/>
  <c r="BW231" i="13"/>
  <c r="CH231" i="13"/>
  <c r="BY231" i="13"/>
  <c r="AT231" i="13"/>
  <c r="AY231" i="13"/>
  <c r="BH231" i="13"/>
  <c r="BP231" i="13"/>
  <c r="BD231" i="13"/>
  <c r="BG231" i="13"/>
  <c r="AV231" i="13"/>
  <c r="BK231" i="13"/>
  <c r="BC231" i="13"/>
  <c r="BQ231" i="13"/>
  <c r="BO231" i="13"/>
  <c r="BN231" i="13"/>
  <c r="BA231" i="13"/>
  <c r="BI231" i="13"/>
  <c r="BF231" i="13"/>
  <c r="AZ231" i="13"/>
  <c r="BE231" i="13"/>
  <c r="AU231" i="13"/>
  <c r="BB231" i="13"/>
  <c r="AX231" i="13"/>
  <c r="BJ231" i="13"/>
  <c r="AW231" i="13"/>
  <c r="BM231" i="13"/>
  <c r="BL231" i="13"/>
  <c r="A233" i="13"/>
  <c r="AS232" i="13"/>
  <c r="BR232" i="13" l="1"/>
  <c r="BS232" i="13"/>
  <c r="BT232" i="13"/>
  <c r="BZ232" i="13"/>
  <c r="CC232" i="13"/>
  <c r="CA232" i="13"/>
  <c r="CB232" i="13"/>
  <c r="CF232" i="13"/>
  <c r="CI232" i="13"/>
  <c r="CE232" i="13"/>
  <c r="BV232" i="13"/>
  <c r="CJ232" i="13"/>
  <c r="CD232" i="13"/>
  <c r="CH232" i="13"/>
  <c r="BY232" i="13"/>
  <c r="BW232" i="13"/>
  <c r="CG232" i="13"/>
  <c r="BX232" i="13"/>
  <c r="BU232" i="13"/>
  <c r="A234" i="13"/>
  <c r="AS233" i="13"/>
  <c r="BL232" i="13"/>
  <c r="AW232" i="13"/>
  <c r="AX232" i="13"/>
  <c r="AU232" i="13"/>
  <c r="BF232" i="13"/>
  <c r="BA232" i="13"/>
  <c r="BO232" i="13"/>
  <c r="BC232" i="13"/>
  <c r="AV232" i="13"/>
  <c r="BD232" i="13"/>
  <c r="BH232" i="13"/>
  <c r="AT232" i="13"/>
  <c r="BM232" i="13"/>
  <c r="BJ232" i="13"/>
  <c r="BB232" i="13"/>
  <c r="BE232" i="13"/>
  <c r="AZ232" i="13"/>
  <c r="BI232" i="13"/>
  <c r="BN232" i="13"/>
  <c r="BQ232" i="13"/>
  <c r="BK232" i="13"/>
  <c r="BG232" i="13"/>
  <c r="BP232" i="13"/>
  <c r="AY232" i="13"/>
  <c r="BS233" i="13" l="1"/>
  <c r="BR233" i="13"/>
  <c r="BT233" i="13"/>
  <c r="CC233" i="13"/>
  <c r="CB233" i="13"/>
  <c r="BZ233" i="13"/>
  <c r="CA233" i="13"/>
  <c r="CF233" i="13"/>
  <c r="BX233" i="13"/>
  <c r="BW233" i="13"/>
  <c r="CH233" i="13"/>
  <c r="CJ233" i="13"/>
  <c r="CE233" i="13"/>
  <c r="BU233" i="13"/>
  <c r="CG233" i="13"/>
  <c r="BY233" i="13"/>
  <c r="CD233" i="13"/>
  <c r="BV233" i="13"/>
  <c r="CI233" i="13"/>
  <c r="AY233" i="13"/>
  <c r="BG233" i="13"/>
  <c r="BQ233" i="13"/>
  <c r="BI233" i="13"/>
  <c r="BE233" i="13"/>
  <c r="BJ233" i="13"/>
  <c r="AT233" i="13"/>
  <c r="BD233" i="13"/>
  <c r="BC233" i="13"/>
  <c r="BA233" i="13"/>
  <c r="AX233" i="13"/>
  <c r="BL233" i="13"/>
  <c r="BP233" i="13"/>
  <c r="BK233" i="13"/>
  <c r="BN233" i="13"/>
  <c r="AZ233" i="13"/>
  <c r="BB233" i="13"/>
  <c r="BM233" i="13"/>
  <c r="BH233" i="13"/>
  <c r="AV233" i="13"/>
  <c r="BO233" i="13"/>
  <c r="BF233" i="13"/>
  <c r="AU233" i="13"/>
  <c r="AW233" i="13"/>
  <c r="A235" i="13"/>
  <c r="AS234" i="13"/>
  <c r="BS234" i="13" l="1"/>
  <c r="BR234" i="13"/>
  <c r="BT234" i="13"/>
  <c r="CC234" i="13"/>
  <c r="CB234" i="13"/>
  <c r="BZ234" i="13"/>
  <c r="CA234" i="13"/>
  <c r="CF234" i="13"/>
  <c r="BX234" i="13"/>
  <c r="BW234" i="13"/>
  <c r="CH234" i="13"/>
  <c r="CJ234" i="13"/>
  <c r="CE234" i="13"/>
  <c r="BU234" i="13"/>
  <c r="CG234" i="13"/>
  <c r="BY234" i="13"/>
  <c r="CD234" i="13"/>
  <c r="BV234" i="13"/>
  <c r="CI234" i="13"/>
  <c r="BI234" i="13"/>
  <c r="AY234" i="13"/>
  <c r="BJ234" i="13"/>
  <c r="BL234" i="13"/>
  <c r="AV234" i="13"/>
  <c r="AU234" i="13"/>
  <c r="AZ234" i="13"/>
  <c r="BK234" i="13"/>
  <c r="BN234" i="13"/>
  <c r="BE234" i="13"/>
  <c r="BB234" i="13"/>
  <c r="BH234" i="13"/>
  <c r="BC234" i="13"/>
  <c r="BF234" i="13"/>
  <c r="AT234" i="13"/>
  <c r="BA234" i="13"/>
  <c r="BO234" i="13"/>
  <c r="AX234" i="13"/>
  <c r="BD234" i="13"/>
  <c r="BM234" i="13"/>
  <c r="AW234" i="13"/>
  <c r="BQ234" i="13"/>
  <c r="BG234" i="13"/>
  <c r="BP234" i="13"/>
  <c r="A236" i="13"/>
  <c r="AS235" i="13"/>
  <c r="BR235" i="13" l="1"/>
  <c r="BS235" i="13"/>
  <c r="BT235" i="13"/>
  <c r="CC235" i="13"/>
  <c r="BZ235" i="13"/>
  <c r="CA235" i="13"/>
  <c r="CB235" i="13"/>
  <c r="CJ235" i="13"/>
  <c r="CE235" i="13"/>
  <c r="BU235" i="13"/>
  <c r="CI235" i="13"/>
  <c r="BV235" i="13"/>
  <c r="BY235" i="13"/>
  <c r="CD235" i="13"/>
  <c r="CH235" i="13"/>
  <c r="BW235" i="13"/>
  <c r="CF235" i="13"/>
  <c r="CG235" i="13"/>
  <c r="BX235" i="13"/>
  <c r="AW235" i="13"/>
  <c r="AV235" i="13"/>
  <c r="AZ235" i="13"/>
  <c r="BL235" i="13"/>
  <c r="BA235" i="13"/>
  <c r="BJ235" i="13"/>
  <c r="BG235" i="13"/>
  <c r="BO235" i="13"/>
  <c r="BB235" i="13"/>
  <c r="BP235" i="13"/>
  <c r="AT235" i="13"/>
  <c r="BQ235" i="13"/>
  <c r="BF235" i="13"/>
  <c r="BM235" i="13"/>
  <c r="BK235" i="13"/>
  <c r="BD235" i="13"/>
  <c r="BI235" i="13"/>
  <c r="AU235" i="13"/>
  <c r="BH235" i="13"/>
  <c r="BN235" i="13"/>
  <c r="AX235" i="13"/>
  <c r="BC235" i="13"/>
  <c r="BE235" i="13"/>
  <c r="AY235" i="13"/>
  <c r="A237" i="13"/>
  <c r="AS236" i="13"/>
  <c r="BR236" i="13" l="1"/>
  <c r="BS236" i="13"/>
  <c r="BT236" i="13"/>
  <c r="CC236" i="13"/>
  <c r="BZ236" i="13"/>
  <c r="CB236" i="13"/>
  <c r="CA236" i="13"/>
  <c r="CI236" i="13"/>
  <c r="BY236" i="13"/>
  <c r="BU236" i="13"/>
  <c r="CE236" i="13"/>
  <c r="BV236" i="13"/>
  <c r="CJ236" i="13"/>
  <c r="BW236" i="13"/>
  <c r="CG236" i="13"/>
  <c r="CD236" i="13"/>
  <c r="CF236" i="13"/>
  <c r="CH236" i="13"/>
  <c r="BX236" i="13"/>
  <c r="BQ236" i="13"/>
  <c r="BK236" i="13"/>
  <c r="BJ236" i="13"/>
  <c r="BA236" i="13"/>
  <c r="BL236" i="13"/>
  <c r="AZ236" i="13"/>
  <c r="AV236" i="13"/>
  <c r="AW236" i="13"/>
  <c r="BE236" i="13"/>
  <c r="AX236" i="13"/>
  <c r="AY236" i="13"/>
  <c r="BH236" i="13"/>
  <c r="AU236" i="13"/>
  <c r="BI236" i="13"/>
  <c r="BM236" i="13"/>
  <c r="AT236" i="13"/>
  <c r="BP236" i="13"/>
  <c r="BB236" i="13"/>
  <c r="BO236" i="13"/>
  <c r="BG236" i="13"/>
  <c r="BC236" i="13"/>
  <c r="BN236" i="13"/>
  <c r="BD236" i="13"/>
  <c r="BF236" i="13"/>
  <c r="A238" i="13"/>
  <c r="AS237" i="13"/>
  <c r="BS237" i="13" l="1"/>
  <c r="BR237" i="13"/>
  <c r="BT237" i="13"/>
  <c r="CC237" i="13"/>
  <c r="BZ237" i="13"/>
  <c r="CB237" i="13"/>
  <c r="CA237" i="13"/>
  <c r="CJ237" i="13"/>
  <c r="BV237" i="13"/>
  <c r="CI237" i="13"/>
  <c r="BU237" i="13"/>
  <c r="CE237" i="13"/>
  <c r="BY237" i="13"/>
  <c r="CD237" i="13"/>
  <c r="BW237" i="13"/>
  <c r="CF237" i="13"/>
  <c r="CH237" i="13"/>
  <c r="CG237" i="13"/>
  <c r="BX237" i="13"/>
  <c r="A239" i="13"/>
  <c r="AS238" i="13"/>
  <c r="BF237" i="13"/>
  <c r="BN237" i="13"/>
  <c r="BG237" i="13"/>
  <c r="BB237" i="13"/>
  <c r="BM237" i="13"/>
  <c r="AU237" i="13"/>
  <c r="AY237" i="13"/>
  <c r="BE237" i="13"/>
  <c r="AV237" i="13"/>
  <c r="BL237" i="13"/>
  <c r="BJ237" i="13"/>
  <c r="BQ237" i="13"/>
  <c r="BD237" i="13"/>
  <c r="BC237" i="13"/>
  <c r="BO237" i="13"/>
  <c r="BP237" i="13"/>
  <c r="AT237" i="13"/>
  <c r="BI237" i="13"/>
  <c r="BH237" i="13"/>
  <c r="AX237" i="13"/>
  <c r="AW237" i="13"/>
  <c r="AZ237" i="13"/>
  <c r="BA237" i="13"/>
  <c r="BK237" i="13"/>
  <c r="BT238" i="13" l="1"/>
  <c r="BS238" i="13"/>
  <c r="BR238" i="13"/>
  <c r="CC238" i="13"/>
  <c r="BZ238" i="13"/>
  <c r="CA238" i="13"/>
  <c r="CB238" i="13"/>
  <c r="CI238" i="13"/>
  <c r="BV238" i="13"/>
  <c r="BY238" i="13"/>
  <c r="BU238" i="13"/>
  <c r="CE238" i="13"/>
  <c r="CJ238" i="13"/>
  <c r="CG238" i="13"/>
  <c r="CH238" i="13"/>
  <c r="BX238" i="13"/>
  <c r="BW238" i="13"/>
  <c r="CF238" i="13"/>
  <c r="CD238" i="13"/>
  <c r="BK238" i="13"/>
  <c r="AZ238" i="13"/>
  <c r="AX238" i="13"/>
  <c r="BI238" i="13"/>
  <c r="BP238" i="13"/>
  <c r="BC238" i="13"/>
  <c r="BQ238" i="13"/>
  <c r="BL238" i="13"/>
  <c r="BE238" i="13"/>
  <c r="AU238" i="13"/>
  <c r="BG238" i="13"/>
  <c r="BF238" i="13"/>
  <c r="BA238" i="13"/>
  <c r="AW238" i="13"/>
  <c r="BH238" i="13"/>
  <c r="AT238" i="13"/>
  <c r="BO238" i="13"/>
  <c r="BD238" i="13"/>
  <c r="BJ238" i="13"/>
  <c r="AV238" i="13"/>
  <c r="AY238" i="13"/>
  <c r="BM238" i="13"/>
  <c r="BB238" i="13"/>
  <c r="BN238" i="13"/>
  <c r="A240" i="13"/>
  <c r="AS239" i="13"/>
  <c r="BT239" i="13" l="1"/>
  <c r="BS239" i="13"/>
  <c r="BR239" i="13"/>
  <c r="CC239" i="13"/>
  <c r="BZ239" i="13"/>
  <c r="CA239" i="13"/>
  <c r="CB239" i="13"/>
  <c r="CI239" i="13"/>
  <c r="CJ239" i="13"/>
  <c r="BU239" i="13"/>
  <c r="BY239" i="13"/>
  <c r="CE239" i="13"/>
  <c r="BV239" i="13"/>
  <c r="BX239" i="13"/>
  <c r="BW239" i="13"/>
  <c r="CF239" i="13"/>
  <c r="CD239" i="13"/>
  <c r="CH239" i="13"/>
  <c r="CG239" i="13"/>
  <c r="BN239" i="13"/>
  <c r="BM239" i="13"/>
  <c r="AV239" i="13"/>
  <c r="BD239" i="13"/>
  <c r="AT239" i="13"/>
  <c r="AW239" i="13"/>
  <c r="BF239" i="13"/>
  <c r="BE239" i="13"/>
  <c r="BQ239" i="13"/>
  <c r="BP239" i="13"/>
  <c r="AX239" i="13"/>
  <c r="BK239" i="13"/>
  <c r="BB239" i="13"/>
  <c r="AY239" i="13"/>
  <c r="BJ239" i="13"/>
  <c r="BO239" i="13"/>
  <c r="BH239" i="13"/>
  <c r="BA239" i="13"/>
  <c r="BG239" i="13"/>
  <c r="AU239" i="13"/>
  <c r="BL239" i="13"/>
  <c r="BC239" i="13"/>
  <c r="BI239" i="13"/>
  <c r="AZ239" i="13"/>
  <c r="A241" i="13"/>
  <c r="AS240" i="13"/>
  <c r="BS240" i="13" l="1"/>
  <c r="BR240" i="13"/>
  <c r="BT240" i="13"/>
  <c r="CC240" i="13"/>
  <c r="BZ240" i="13"/>
  <c r="CA240" i="13"/>
  <c r="CB240" i="13"/>
  <c r="CI240" i="13"/>
  <c r="BV240" i="13"/>
  <c r="BY240" i="13"/>
  <c r="BU240" i="13"/>
  <c r="CJ240" i="13"/>
  <c r="CE240" i="13"/>
  <c r="CG240" i="13"/>
  <c r="BW240" i="13"/>
  <c r="BX240" i="13"/>
  <c r="CH240" i="13"/>
  <c r="CD240" i="13"/>
  <c r="CF240" i="13"/>
  <c r="AZ240" i="13"/>
  <c r="BC240" i="13"/>
  <c r="AU240" i="13"/>
  <c r="BA240" i="13"/>
  <c r="BO240" i="13"/>
  <c r="AY240" i="13"/>
  <c r="BK240" i="13"/>
  <c r="BP240" i="13"/>
  <c r="BE240" i="13"/>
  <c r="BF240" i="13"/>
  <c r="AT240" i="13"/>
  <c r="AV240" i="13"/>
  <c r="BN240" i="13"/>
  <c r="BI240" i="13"/>
  <c r="BL240" i="13"/>
  <c r="BG240" i="13"/>
  <c r="BH240" i="13"/>
  <c r="BJ240" i="13"/>
  <c r="BB240" i="13"/>
  <c r="AX240" i="13"/>
  <c r="BQ240" i="13"/>
  <c r="AW240" i="13"/>
  <c r="BD240" i="13"/>
  <c r="BM240" i="13"/>
  <c r="A242" i="13"/>
  <c r="AS241" i="13"/>
  <c r="BR241" i="13" l="1"/>
  <c r="BT241" i="13"/>
  <c r="BS241" i="13"/>
  <c r="CC241" i="13"/>
  <c r="BZ241" i="13"/>
  <c r="CA241" i="13"/>
  <c r="CB241" i="13"/>
  <c r="CI241" i="13"/>
  <c r="CE241" i="13"/>
  <c r="BY241" i="13"/>
  <c r="BU241" i="13"/>
  <c r="CJ241" i="13"/>
  <c r="BV241" i="13"/>
  <c r="BX241" i="13"/>
  <c r="CD241" i="13"/>
  <c r="CH241" i="13"/>
  <c r="BW241" i="13"/>
  <c r="CG241" i="13"/>
  <c r="CF241" i="13"/>
  <c r="BM241" i="13"/>
  <c r="AW241" i="13"/>
  <c r="BQ241" i="13"/>
  <c r="BB241" i="13"/>
  <c r="BH241" i="13"/>
  <c r="BL241" i="13"/>
  <c r="BN241" i="13"/>
  <c r="AT241" i="13"/>
  <c r="BE241" i="13"/>
  <c r="BK241" i="13"/>
  <c r="BO241" i="13"/>
  <c r="AU241" i="13"/>
  <c r="AZ241" i="13"/>
  <c r="BD241" i="13"/>
  <c r="AX241" i="13"/>
  <c r="BJ241" i="13"/>
  <c r="BG241" i="13"/>
  <c r="BI241" i="13"/>
  <c r="AV241" i="13"/>
  <c r="BF241" i="13"/>
  <c r="BP241" i="13"/>
  <c r="AY241" i="13"/>
  <c r="BA241" i="13"/>
  <c r="BC241" i="13"/>
  <c r="A243" i="13"/>
  <c r="AS242" i="13"/>
  <c r="BS242" i="13" l="1"/>
  <c r="BT242" i="13"/>
  <c r="BR242" i="13"/>
  <c r="CC242" i="13"/>
  <c r="BZ242" i="13"/>
  <c r="CB242" i="13"/>
  <c r="CA242" i="13"/>
  <c r="CI242" i="13"/>
  <c r="BY242" i="13"/>
  <c r="CE242" i="13"/>
  <c r="BV242" i="13"/>
  <c r="CJ242" i="13"/>
  <c r="BU242" i="13"/>
  <c r="CF242" i="13"/>
  <c r="CD242" i="13"/>
  <c r="BW242" i="13"/>
  <c r="CH242" i="13"/>
  <c r="CG242" i="13"/>
  <c r="BX242" i="13"/>
  <c r="A244" i="13"/>
  <c r="AS243" i="13"/>
  <c r="BC242" i="13"/>
  <c r="AY242" i="13"/>
  <c r="BF242" i="13"/>
  <c r="BI242" i="13"/>
  <c r="BJ242" i="13"/>
  <c r="AZ242" i="13"/>
  <c r="BO242" i="13"/>
  <c r="BE242" i="13"/>
  <c r="BN242" i="13"/>
  <c r="BH242" i="13"/>
  <c r="BQ242" i="13"/>
  <c r="BM242" i="13"/>
  <c r="BA242" i="13"/>
  <c r="BP242" i="13"/>
  <c r="AV242" i="13"/>
  <c r="BG242" i="13"/>
  <c r="AX242" i="13"/>
  <c r="BD242" i="13"/>
  <c r="AU242" i="13"/>
  <c r="BK242" i="13"/>
  <c r="AT242" i="13"/>
  <c r="BL242" i="13"/>
  <c r="BB242" i="13"/>
  <c r="AW242" i="13"/>
  <c r="BT243" i="13" l="1"/>
  <c r="BS243" i="13"/>
  <c r="BR243" i="13"/>
  <c r="CC243" i="13"/>
  <c r="BZ243" i="13"/>
  <c r="CB243" i="13"/>
  <c r="CA243" i="13"/>
  <c r="CI243" i="13"/>
  <c r="CE243" i="13"/>
  <c r="CJ243" i="13"/>
  <c r="BU243" i="13"/>
  <c r="BY243" i="13"/>
  <c r="BV243" i="13"/>
  <c r="BX243" i="13"/>
  <c r="BW243" i="13"/>
  <c r="CF243" i="13"/>
  <c r="CH243" i="13"/>
  <c r="CD243" i="13"/>
  <c r="CG243" i="13"/>
  <c r="AW243" i="13"/>
  <c r="BL243" i="13"/>
  <c r="BK243" i="13"/>
  <c r="BD243" i="13"/>
  <c r="BG243" i="13"/>
  <c r="BP243" i="13"/>
  <c r="BM243" i="13"/>
  <c r="BH243" i="13"/>
  <c r="BE243" i="13"/>
  <c r="AZ243" i="13"/>
  <c r="BJ243" i="13"/>
  <c r="BF243" i="13"/>
  <c r="BC243" i="13"/>
  <c r="BB243" i="13"/>
  <c r="AT243" i="13"/>
  <c r="AU243" i="13"/>
  <c r="AX243" i="13"/>
  <c r="AV243" i="13"/>
  <c r="BA243" i="13"/>
  <c r="BQ243" i="13"/>
  <c r="BN243" i="13"/>
  <c r="BO243" i="13"/>
  <c r="BI243" i="13"/>
  <c r="AY243" i="13"/>
  <c r="A245" i="13"/>
  <c r="AS244" i="13"/>
  <c r="BS244" i="13" l="1"/>
  <c r="BT244" i="13"/>
  <c r="BR244" i="13"/>
  <c r="CC244" i="13"/>
  <c r="BZ244" i="13"/>
  <c r="CB244" i="13"/>
  <c r="CA244" i="13"/>
  <c r="CI244" i="13"/>
  <c r="CE244" i="13"/>
  <c r="BY244" i="13"/>
  <c r="BU244" i="13"/>
  <c r="BV244" i="13"/>
  <c r="CJ244" i="13"/>
  <c r="BW244" i="13"/>
  <c r="CG244" i="13"/>
  <c r="CH244" i="13"/>
  <c r="BX244" i="13"/>
  <c r="CF244" i="13"/>
  <c r="CD244" i="13"/>
  <c r="AY244" i="13"/>
  <c r="BN244" i="13"/>
  <c r="BA244" i="13"/>
  <c r="AX244" i="13"/>
  <c r="AT244" i="13"/>
  <c r="BC244" i="13"/>
  <c r="BJ244" i="13"/>
  <c r="BE244" i="13"/>
  <c r="BM244" i="13"/>
  <c r="BG244" i="13"/>
  <c r="BK244" i="13"/>
  <c r="AW244" i="13"/>
  <c r="BI244" i="13"/>
  <c r="BO244" i="13"/>
  <c r="BQ244" i="13"/>
  <c r="AV244" i="13"/>
  <c r="AU244" i="13"/>
  <c r="BB244" i="13"/>
  <c r="BF244" i="13"/>
  <c r="AZ244" i="13"/>
  <c r="BH244" i="13"/>
  <c r="BP244" i="13"/>
  <c r="BD244" i="13"/>
  <c r="BL244" i="13"/>
  <c r="A246" i="13"/>
  <c r="AS245" i="13"/>
  <c r="BS245" i="13" l="1"/>
  <c r="BR245" i="13"/>
  <c r="BT245" i="13"/>
  <c r="CC245" i="13"/>
  <c r="BZ245" i="13"/>
  <c r="CB245" i="13"/>
  <c r="CA245" i="13"/>
  <c r="CI245" i="13"/>
  <c r="BV245" i="13"/>
  <c r="BU245" i="13"/>
  <c r="BY245" i="13"/>
  <c r="CE245" i="13"/>
  <c r="CJ245" i="13"/>
  <c r="CF245" i="13"/>
  <c r="BW245" i="13"/>
  <c r="CD245" i="13"/>
  <c r="CH245" i="13"/>
  <c r="BX245" i="13"/>
  <c r="CG245" i="13"/>
  <c r="BL245" i="13"/>
  <c r="AZ245" i="13"/>
  <c r="AV245" i="13"/>
  <c r="AW245" i="13"/>
  <c r="BE245" i="13"/>
  <c r="AX245" i="13"/>
  <c r="BH245" i="13"/>
  <c r="AU245" i="13"/>
  <c r="BI245" i="13"/>
  <c r="BM245" i="13"/>
  <c r="AT245" i="13"/>
  <c r="BP245" i="13"/>
  <c r="BB245" i="13"/>
  <c r="BO245" i="13"/>
  <c r="BG245" i="13"/>
  <c r="BC245" i="13"/>
  <c r="BN245" i="13"/>
  <c r="BD245" i="13"/>
  <c r="BF245" i="13"/>
  <c r="BQ245" i="13"/>
  <c r="BK245" i="13"/>
  <c r="BJ245" i="13"/>
  <c r="BA245" i="13"/>
  <c r="AY245" i="13"/>
  <c r="A247" i="13"/>
  <c r="AS246" i="13"/>
  <c r="BS246" i="13" l="1"/>
  <c r="BR246" i="13"/>
  <c r="BT246" i="13"/>
  <c r="CC246" i="13"/>
  <c r="BZ246" i="13"/>
  <c r="CB246" i="13"/>
  <c r="CA246" i="13"/>
  <c r="CI246" i="13"/>
  <c r="CJ246" i="13"/>
  <c r="BV246" i="13"/>
  <c r="CE246" i="13"/>
  <c r="BY246" i="13"/>
  <c r="BU246" i="13"/>
  <c r="CD246" i="13"/>
  <c r="CH246" i="13"/>
  <c r="CF246" i="13"/>
  <c r="CG246" i="13"/>
  <c r="BW246" i="13"/>
  <c r="BX246" i="13"/>
  <c r="BN246" i="13"/>
  <c r="BC246" i="13"/>
  <c r="BO246" i="13"/>
  <c r="BH246" i="13"/>
  <c r="BM246" i="13"/>
  <c r="AU246" i="13"/>
  <c r="AX246" i="13"/>
  <c r="AW246" i="13"/>
  <c r="AZ246" i="13"/>
  <c r="AY246" i="13"/>
  <c r="BJ246" i="13"/>
  <c r="BQ246" i="13"/>
  <c r="BD246" i="13"/>
  <c r="AT246" i="13"/>
  <c r="BG246" i="13"/>
  <c r="BB246" i="13"/>
  <c r="BP246" i="13"/>
  <c r="BI246" i="13"/>
  <c r="BE246" i="13"/>
  <c r="AV246" i="13"/>
  <c r="BL246" i="13"/>
  <c r="BA246" i="13"/>
  <c r="BK246" i="13"/>
  <c r="BF246" i="13"/>
  <c r="A248" i="13"/>
  <c r="AS247" i="13"/>
  <c r="BR247" i="13" l="1"/>
  <c r="BS247" i="13"/>
  <c r="BT247" i="13"/>
  <c r="CC247" i="13"/>
  <c r="BZ247" i="13"/>
  <c r="CA247" i="13"/>
  <c r="CB247" i="13"/>
  <c r="CI247" i="13"/>
  <c r="BV247" i="13"/>
  <c r="BU247" i="13"/>
  <c r="BY247" i="13"/>
  <c r="CJ247" i="13"/>
  <c r="CE247" i="13"/>
  <c r="CF247" i="13"/>
  <c r="CG247" i="13"/>
  <c r="BW247" i="13"/>
  <c r="CD247" i="13"/>
  <c r="CH247" i="13"/>
  <c r="BX247" i="13"/>
  <c r="BF247" i="13"/>
  <c r="BA247" i="13"/>
  <c r="AV247" i="13"/>
  <c r="BG247" i="13"/>
  <c r="BD247" i="13"/>
  <c r="BJ247" i="13"/>
  <c r="AZ247" i="13"/>
  <c r="BM247" i="13"/>
  <c r="BO247" i="13"/>
  <c r="BN247" i="13"/>
  <c r="BK247" i="13"/>
  <c r="BL247" i="13"/>
  <c r="BE247" i="13"/>
  <c r="BI247" i="13"/>
  <c r="AT247" i="13"/>
  <c r="AY247" i="13"/>
  <c r="AW247" i="13"/>
  <c r="BH247" i="13"/>
  <c r="BP247" i="13"/>
  <c r="AX247" i="13"/>
  <c r="BB247" i="13"/>
  <c r="BQ247" i="13"/>
  <c r="AU247" i="13"/>
  <c r="BC247" i="13"/>
  <c r="A249" i="13"/>
  <c r="AS248" i="13"/>
  <c r="BS248" i="13" l="1"/>
  <c r="BR248" i="13"/>
  <c r="BT248" i="13"/>
  <c r="CC248" i="13"/>
  <c r="BZ248" i="13"/>
  <c r="CA248" i="13"/>
  <c r="CB248" i="13"/>
  <c r="CI248" i="13"/>
  <c r="CJ248" i="13"/>
  <c r="BY248" i="13"/>
  <c r="CE248" i="13"/>
  <c r="BV248" i="13"/>
  <c r="BU248" i="13"/>
  <c r="CF248" i="13"/>
  <c r="CD248" i="13"/>
  <c r="CH248" i="13"/>
  <c r="BW248" i="13"/>
  <c r="CG248" i="13"/>
  <c r="BX248" i="13"/>
  <c r="A250" i="13"/>
  <c r="AS249" i="13"/>
  <c r="BG248" i="13"/>
  <c r="BA248" i="13"/>
  <c r="BH248" i="13"/>
  <c r="AT248" i="13"/>
  <c r="BC248" i="13"/>
  <c r="AY248" i="13"/>
  <c r="BB248" i="13"/>
  <c r="BE248" i="13"/>
  <c r="BN248" i="13"/>
  <c r="BM248" i="13"/>
  <c r="AZ248" i="13"/>
  <c r="BD248" i="13"/>
  <c r="BP248" i="13"/>
  <c r="AV248" i="13"/>
  <c r="BF248" i="13"/>
  <c r="AW248" i="13"/>
  <c r="BK248" i="13"/>
  <c r="AU248" i="13"/>
  <c r="BQ248" i="13"/>
  <c r="BI248" i="13"/>
  <c r="BL248" i="13"/>
  <c r="BO248" i="13"/>
  <c r="AX248" i="13"/>
  <c r="BJ248" i="13"/>
  <c r="BR249" i="13" l="1"/>
  <c r="BS249" i="13"/>
  <c r="BT249" i="13"/>
  <c r="CC249" i="13"/>
  <c r="BZ249" i="13"/>
  <c r="CB249" i="13"/>
  <c r="CA249" i="13"/>
  <c r="CI249" i="13"/>
  <c r="BY249" i="13"/>
  <c r="BU249" i="13"/>
  <c r="CE249" i="13"/>
  <c r="BV249" i="13"/>
  <c r="CJ249" i="13"/>
  <c r="BW249" i="13"/>
  <c r="CG249" i="13"/>
  <c r="CD249" i="13"/>
  <c r="BX249" i="13"/>
  <c r="CH249" i="13"/>
  <c r="CF249" i="13"/>
  <c r="AW249" i="13"/>
  <c r="BD249" i="13"/>
  <c r="BE249" i="13"/>
  <c r="BA249" i="13"/>
  <c r="BG249" i="13"/>
  <c r="AX249" i="13"/>
  <c r="BL249" i="13"/>
  <c r="BQ249" i="13"/>
  <c r="BK249" i="13"/>
  <c r="BF249" i="13"/>
  <c r="BP249" i="13"/>
  <c r="AZ249" i="13"/>
  <c r="BN249" i="13"/>
  <c r="BB249" i="13"/>
  <c r="BC249" i="13"/>
  <c r="BH249" i="13"/>
  <c r="BJ249" i="13"/>
  <c r="BO249" i="13"/>
  <c r="BI249" i="13"/>
  <c r="AU249" i="13"/>
  <c r="AV249" i="13"/>
  <c r="BM249" i="13"/>
  <c r="AY249" i="13"/>
  <c r="AT249" i="13"/>
  <c r="A251" i="13"/>
  <c r="AS250" i="13"/>
  <c r="BR250" i="13" l="1"/>
  <c r="BS250" i="13"/>
  <c r="BT250" i="13"/>
  <c r="CC250" i="13"/>
  <c r="BZ250" i="13"/>
  <c r="CB250" i="13"/>
  <c r="CA250" i="13"/>
  <c r="CI250" i="13"/>
  <c r="BY250" i="13"/>
  <c r="CE250" i="13"/>
  <c r="BV250" i="13"/>
  <c r="CJ250" i="13"/>
  <c r="BU250" i="13"/>
  <c r="BX250" i="13"/>
  <c r="CF250" i="13"/>
  <c r="BW250" i="13"/>
  <c r="CD250" i="13"/>
  <c r="CH250" i="13"/>
  <c r="CG250" i="13"/>
  <c r="AV250" i="13"/>
  <c r="BC250" i="13"/>
  <c r="BN250" i="13"/>
  <c r="BP250" i="13"/>
  <c r="BK250" i="13"/>
  <c r="BL250" i="13"/>
  <c r="BG250" i="13"/>
  <c r="AY250" i="13"/>
  <c r="AU250" i="13"/>
  <c r="AT250" i="13"/>
  <c r="BM250" i="13"/>
  <c r="AW250" i="13"/>
  <c r="BJ250" i="13"/>
  <c r="BH250" i="13"/>
  <c r="BB250" i="13"/>
  <c r="AZ250" i="13"/>
  <c r="BF250" i="13"/>
  <c r="BQ250" i="13"/>
  <c r="AX250" i="13"/>
  <c r="BA250" i="13"/>
  <c r="BD250" i="13"/>
  <c r="BO250" i="13"/>
  <c r="BE250" i="13"/>
  <c r="BI250" i="13"/>
  <c r="A252" i="13"/>
  <c r="AS251" i="13"/>
  <c r="BS251" i="13" l="1"/>
  <c r="BT251" i="13"/>
  <c r="BR251" i="13"/>
  <c r="CC251" i="13"/>
  <c r="BZ251" i="13"/>
  <c r="CA251" i="13"/>
  <c r="CB251" i="13"/>
  <c r="CI251" i="13"/>
  <c r="BY251" i="13"/>
  <c r="CJ251" i="13"/>
  <c r="CE251" i="13"/>
  <c r="BV251" i="13"/>
  <c r="BU251" i="13"/>
  <c r="CD251" i="13"/>
  <c r="BX251" i="13"/>
  <c r="CH251" i="13"/>
  <c r="BW251" i="13"/>
  <c r="CG251" i="13"/>
  <c r="CF251" i="13"/>
  <c r="BI251" i="13"/>
  <c r="BF251" i="13"/>
  <c r="BM251" i="13"/>
  <c r="BG251" i="13"/>
  <c r="BK251" i="13"/>
  <c r="BN251" i="13"/>
  <c r="AV251" i="13"/>
  <c r="BO251" i="13"/>
  <c r="BA251" i="13"/>
  <c r="BQ251" i="13"/>
  <c r="AZ251" i="13"/>
  <c r="BH251" i="13"/>
  <c r="AW251" i="13"/>
  <c r="AT251" i="13"/>
  <c r="AY251" i="13"/>
  <c r="BL251" i="13"/>
  <c r="BP251" i="13"/>
  <c r="BC251" i="13"/>
  <c r="BE251" i="13"/>
  <c r="BD251" i="13"/>
  <c r="AX251" i="13"/>
  <c r="BB251" i="13"/>
  <c r="BJ251" i="13"/>
  <c r="AU251" i="13"/>
  <c r="A253" i="13"/>
  <c r="AS252" i="13"/>
  <c r="BR252" i="13" l="1"/>
  <c r="BS252" i="13"/>
  <c r="BT252" i="13"/>
  <c r="CC252" i="13"/>
  <c r="BZ252" i="13"/>
  <c r="CB252" i="13"/>
  <c r="CA252" i="13"/>
  <c r="CI252" i="13"/>
  <c r="CE252" i="13"/>
  <c r="CJ252" i="13"/>
  <c r="BY252" i="13"/>
  <c r="BU252" i="13"/>
  <c r="BV252" i="13"/>
  <c r="BW252" i="13"/>
  <c r="CH252" i="13"/>
  <c r="CG252" i="13"/>
  <c r="BX252" i="13"/>
  <c r="CF252" i="13"/>
  <c r="CD252" i="13"/>
  <c r="BM252" i="13"/>
  <c r="AT252" i="13"/>
  <c r="BH252" i="13"/>
  <c r="BQ252" i="13"/>
  <c r="AU252" i="13"/>
  <c r="BJ252" i="13"/>
  <c r="BF252" i="13"/>
  <c r="BD252" i="13"/>
  <c r="BI252" i="13"/>
  <c r="BP252" i="13"/>
  <c r="AY252" i="13"/>
  <c r="AW252" i="13"/>
  <c r="AZ252" i="13"/>
  <c r="BA252" i="13"/>
  <c r="AV252" i="13"/>
  <c r="BN252" i="13"/>
  <c r="BG252" i="13"/>
  <c r="BB252" i="13"/>
  <c r="AX252" i="13"/>
  <c r="BE252" i="13"/>
  <c r="BC252" i="13"/>
  <c r="BL252" i="13"/>
  <c r="BO252" i="13"/>
  <c r="BK252" i="13"/>
  <c r="A254" i="13"/>
  <c r="AS253" i="13"/>
  <c r="BS253" i="13" l="1"/>
  <c r="BT253" i="13"/>
  <c r="BR253" i="13"/>
  <c r="CC253" i="13"/>
  <c r="BZ253" i="13"/>
  <c r="CB253" i="13"/>
  <c r="CA253" i="13"/>
  <c r="CI253" i="13"/>
  <c r="BY253" i="13"/>
  <c r="CJ253" i="13"/>
  <c r="BV253" i="13"/>
  <c r="CE253" i="13"/>
  <c r="BU253" i="13"/>
  <c r="BX253" i="13"/>
  <c r="CG253" i="13"/>
  <c r="CF253" i="13"/>
  <c r="CH253" i="13"/>
  <c r="CD253" i="13"/>
  <c r="BW253" i="13"/>
  <c r="BO253" i="13"/>
  <c r="BL253" i="13"/>
  <c r="BE253" i="13"/>
  <c r="BB253" i="13"/>
  <c r="BK253" i="13"/>
  <c r="BQ253" i="13"/>
  <c r="BG253" i="13"/>
  <c r="AV253" i="13"/>
  <c r="AZ253" i="13"/>
  <c r="AY253" i="13"/>
  <c r="BI253" i="13"/>
  <c r="BF253" i="13"/>
  <c r="AU253" i="13"/>
  <c r="BH253" i="13"/>
  <c r="BC253" i="13"/>
  <c r="AX253" i="13"/>
  <c r="BM253" i="13"/>
  <c r="AT253" i="13"/>
  <c r="BN253" i="13"/>
  <c r="BA253" i="13"/>
  <c r="AW253" i="13"/>
  <c r="BP253" i="13"/>
  <c r="BD253" i="13"/>
  <c r="BJ253" i="13"/>
  <c r="A255" i="13"/>
  <c r="AS254" i="13"/>
  <c r="BS254" i="13" l="1"/>
  <c r="BR254" i="13"/>
  <c r="BT254" i="13"/>
  <c r="CC254" i="13"/>
  <c r="BZ254" i="13"/>
  <c r="CA254" i="13"/>
  <c r="CB254" i="13"/>
  <c r="CI254" i="13"/>
  <c r="BY254" i="13"/>
  <c r="CJ254" i="13"/>
  <c r="CE254" i="13"/>
  <c r="BU254" i="13"/>
  <c r="BV254" i="13"/>
  <c r="CH254" i="13"/>
  <c r="CD254" i="13"/>
  <c r="BW254" i="13"/>
  <c r="BX254" i="13"/>
  <c r="CF254" i="13"/>
  <c r="CG254" i="13"/>
  <c r="BO254" i="13"/>
  <c r="AU254" i="13"/>
  <c r="BJ254" i="13"/>
  <c r="BP254" i="13"/>
  <c r="BA254" i="13"/>
  <c r="AT254" i="13"/>
  <c r="BM254" i="13"/>
  <c r="BC254" i="13"/>
  <c r="BI254" i="13"/>
  <c r="AZ254" i="13"/>
  <c r="BG254" i="13"/>
  <c r="BK254" i="13"/>
  <c r="BE254" i="13"/>
  <c r="BF254" i="13"/>
  <c r="BD254" i="13"/>
  <c r="AW254" i="13"/>
  <c r="BN254" i="13"/>
  <c r="AX254" i="13"/>
  <c r="BH254" i="13"/>
  <c r="AY254" i="13"/>
  <c r="AV254" i="13"/>
  <c r="BQ254" i="13"/>
  <c r="BB254" i="13"/>
  <c r="BL254" i="13"/>
  <c r="A256" i="13"/>
  <c r="AS255" i="13"/>
  <c r="BS255" i="13" l="1"/>
  <c r="BT255" i="13"/>
  <c r="BR255" i="13"/>
  <c r="CC255" i="13"/>
  <c r="BZ255" i="13"/>
  <c r="CA255" i="13"/>
  <c r="CB255" i="13"/>
  <c r="CI255" i="13"/>
  <c r="BV255" i="13"/>
  <c r="CJ255" i="13"/>
  <c r="BY255" i="13"/>
  <c r="CE255" i="13"/>
  <c r="BU255" i="13"/>
  <c r="CD255" i="13"/>
  <c r="CG255" i="13"/>
  <c r="BW255" i="13"/>
  <c r="CF255" i="13"/>
  <c r="BX255" i="13"/>
  <c r="CH255" i="13"/>
  <c r="BL255" i="13"/>
  <c r="AX255" i="13"/>
  <c r="BD255" i="13"/>
  <c r="BN255" i="13"/>
  <c r="BG255" i="13"/>
  <c r="BM255" i="13"/>
  <c r="BJ255" i="13"/>
  <c r="BO255" i="13"/>
  <c r="AZ255" i="13"/>
  <c r="AU255" i="13"/>
  <c r="AY255" i="13"/>
  <c r="AW255" i="13"/>
  <c r="BH255" i="13"/>
  <c r="BK255" i="13"/>
  <c r="BC255" i="13"/>
  <c r="BP255" i="13"/>
  <c r="AV255" i="13"/>
  <c r="BQ255" i="13"/>
  <c r="BE255" i="13"/>
  <c r="BI255" i="13"/>
  <c r="BA255" i="13"/>
  <c r="BB255" i="13"/>
  <c r="BF255" i="13"/>
  <c r="AT255" i="13"/>
  <c r="A257" i="13"/>
  <c r="AS256" i="13"/>
  <c r="BT256" i="13" l="1"/>
  <c r="BS256" i="13"/>
  <c r="BR256" i="13"/>
  <c r="CC256" i="13"/>
  <c r="BZ256" i="13"/>
  <c r="CA256" i="13"/>
  <c r="CB256" i="13"/>
  <c r="CI256" i="13"/>
  <c r="BY256" i="13"/>
  <c r="CE256" i="13"/>
  <c r="CJ256" i="13"/>
  <c r="BU256" i="13"/>
  <c r="BV256" i="13"/>
  <c r="CG256" i="13"/>
  <c r="BW256" i="13"/>
  <c r="CF256" i="13"/>
  <c r="CD256" i="13"/>
  <c r="BX256" i="13"/>
  <c r="CH256" i="13"/>
  <c r="AX256" i="13"/>
  <c r="BL256" i="13"/>
  <c r="BI256" i="13"/>
  <c r="AU256" i="13"/>
  <c r="AT256" i="13"/>
  <c r="AZ256" i="13"/>
  <c r="BB256" i="13"/>
  <c r="BJ256" i="13"/>
  <c r="BM256" i="13"/>
  <c r="BG256" i="13"/>
  <c r="BN256" i="13"/>
  <c r="BD256" i="13"/>
  <c r="BE256" i="13"/>
  <c r="BQ256" i="13"/>
  <c r="AV256" i="13"/>
  <c r="BP256" i="13"/>
  <c r="BC256" i="13"/>
  <c r="BK256" i="13"/>
  <c r="BH256" i="13"/>
  <c r="AW256" i="13"/>
  <c r="AY256" i="13"/>
  <c r="BO256" i="13"/>
  <c r="BF256" i="13"/>
  <c r="BA256" i="13"/>
  <c r="A258" i="13"/>
  <c r="AS257" i="13"/>
  <c r="BR257" i="13" l="1"/>
  <c r="BS257" i="13"/>
  <c r="BT257" i="13"/>
  <c r="CC257" i="13"/>
  <c r="BZ257" i="13"/>
  <c r="CB257" i="13"/>
  <c r="CA257" i="13"/>
  <c r="CI257" i="13"/>
  <c r="CJ257" i="13"/>
  <c r="BU257" i="13"/>
  <c r="CE257" i="13"/>
  <c r="BV257" i="13"/>
  <c r="BY257" i="13"/>
  <c r="CF257" i="13"/>
  <c r="CH257" i="13"/>
  <c r="BW257" i="13"/>
  <c r="BX257" i="13"/>
  <c r="CD257" i="13"/>
  <c r="CG257" i="13"/>
  <c r="BL257" i="13"/>
  <c r="AW257" i="13"/>
  <c r="BK257" i="13"/>
  <c r="BP257" i="13"/>
  <c r="BE257" i="13"/>
  <c r="BM257" i="13"/>
  <c r="BD257" i="13"/>
  <c r="BG257" i="13"/>
  <c r="BB257" i="13"/>
  <c r="AT257" i="13"/>
  <c r="BI257" i="13"/>
  <c r="AX257" i="13"/>
  <c r="BO257" i="13"/>
  <c r="AY257" i="13"/>
  <c r="BH257" i="13"/>
  <c r="BC257" i="13"/>
  <c r="AV257" i="13"/>
  <c r="BQ257" i="13"/>
  <c r="BN257" i="13"/>
  <c r="BJ257" i="13"/>
  <c r="BA257" i="13"/>
  <c r="BF257" i="13"/>
  <c r="AZ257" i="13"/>
  <c r="AU257" i="13"/>
  <c r="A259" i="13"/>
  <c r="AS258" i="13"/>
  <c r="BS258" i="13" l="1"/>
  <c r="BR258" i="13"/>
  <c r="BT258" i="13"/>
  <c r="CC258" i="13"/>
  <c r="BZ258" i="13"/>
  <c r="CA258" i="13"/>
  <c r="CB258" i="13"/>
  <c r="CI258" i="13"/>
  <c r="BU258" i="13"/>
  <c r="CJ258" i="13"/>
  <c r="BY258" i="13"/>
  <c r="BV258" i="13"/>
  <c r="CE258" i="13"/>
  <c r="CF258" i="13"/>
  <c r="BW258" i="13"/>
  <c r="BX258" i="13"/>
  <c r="CH258" i="13"/>
  <c r="CD258" i="13"/>
  <c r="CG258" i="13"/>
  <c r="A260" i="13"/>
  <c r="AS259" i="13"/>
  <c r="AV258" i="13"/>
  <c r="BO258" i="13"/>
  <c r="BI258" i="13"/>
  <c r="BD258" i="13"/>
  <c r="BE258" i="13"/>
  <c r="AW258" i="13"/>
  <c r="AZ258" i="13"/>
  <c r="BJ258" i="13"/>
  <c r="BC258" i="13"/>
  <c r="AX258" i="13"/>
  <c r="BG258" i="13"/>
  <c r="BK258" i="13"/>
  <c r="BL258" i="13"/>
  <c r="BA258" i="13"/>
  <c r="BF258" i="13"/>
  <c r="BN258" i="13"/>
  <c r="BH258" i="13"/>
  <c r="BB258" i="13"/>
  <c r="BP258" i="13"/>
  <c r="AU258" i="13"/>
  <c r="BQ258" i="13"/>
  <c r="AY258" i="13"/>
  <c r="AT258" i="13"/>
  <c r="BM258" i="13"/>
  <c r="BS259" i="13" l="1"/>
  <c r="BR259" i="13"/>
  <c r="BT259" i="13"/>
  <c r="CC259" i="13"/>
  <c r="BZ259" i="13"/>
  <c r="CB259" i="13"/>
  <c r="CA259" i="13"/>
  <c r="CI259" i="13"/>
  <c r="BY259" i="13"/>
  <c r="CE259" i="13"/>
  <c r="CJ259" i="13"/>
  <c r="BV259" i="13"/>
  <c r="BU259" i="13"/>
  <c r="BW259" i="13"/>
  <c r="CD259" i="13"/>
  <c r="CG259" i="13"/>
  <c r="BX259" i="13"/>
  <c r="CF259" i="13"/>
  <c r="CH259" i="13"/>
  <c r="BQ259" i="13"/>
  <c r="BP259" i="13"/>
  <c r="AT259" i="13"/>
  <c r="BD259" i="13"/>
  <c r="BN259" i="13"/>
  <c r="BK259" i="13"/>
  <c r="BG259" i="13"/>
  <c r="AY259" i="13"/>
  <c r="BJ259" i="13"/>
  <c r="AZ259" i="13"/>
  <c r="BM259" i="13"/>
  <c r="BC259" i="13"/>
  <c r="BE259" i="13"/>
  <c r="BB259" i="13"/>
  <c r="BO259" i="13"/>
  <c r="AV259" i="13"/>
  <c r="BF259" i="13"/>
  <c r="BL259" i="13"/>
  <c r="AX259" i="13"/>
  <c r="AU259" i="13"/>
  <c r="AW259" i="13"/>
  <c r="BI259" i="13"/>
  <c r="BH259" i="13"/>
  <c r="BA259" i="13"/>
  <c r="A261" i="13"/>
  <c r="AS260" i="13"/>
  <c r="BR260" i="13" l="1"/>
  <c r="BT260" i="13"/>
  <c r="BS260" i="13"/>
  <c r="CC260" i="13"/>
  <c r="BZ260" i="13"/>
  <c r="CA260" i="13"/>
  <c r="CB260" i="13"/>
  <c r="CI260" i="13"/>
  <c r="BV260" i="13"/>
  <c r="BY260" i="13"/>
  <c r="BU260" i="13"/>
  <c r="CJ260" i="13"/>
  <c r="CE260" i="13"/>
  <c r="CH260" i="13"/>
  <c r="CF260" i="13"/>
  <c r="CG260" i="13"/>
  <c r="BX260" i="13"/>
  <c r="BW260" i="13"/>
  <c r="CD260" i="13"/>
  <c r="A262" i="13"/>
  <c r="AS261" i="13"/>
  <c r="BO260" i="13"/>
  <c r="BM260" i="13"/>
  <c r="BG260" i="13"/>
  <c r="BH260" i="13"/>
  <c r="BK260" i="13"/>
  <c r="BD260" i="13"/>
  <c r="AX260" i="13"/>
  <c r="BB260" i="13"/>
  <c r="AZ260" i="13"/>
  <c r="BA260" i="13"/>
  <c r="BI260" i="13"/>
  <c r="AT260" i="13"/>
  <c r="BN260" i="13"/>
  <c r="BP260" i="13"/>
  <c r="BQ260" i="13"/>
  <c r="BF260" i="13"/>
  <c r="BE260" i="13"/>
  <c r="BJ260" i="13"/>
  <c r="AW260" i="13"/>
  <c r="AU260" i="13"/>
  <c r="BL260" i="13"/>
  <c r="AV260" i="13"/>
  <c r="BC260" i="13"/>
  <c r="AY260" i="13"/>
  <c r="BS261" i="13" l="1"/>
  <c r="BT261" i="13"/>
  <c r="BR261" i="13"/>
  <c r="CC261" i="13"/>
  <c r="BZ261" i="13"/>
  <c r="CA261" i="13"/>
  <c r="CB261" i="13"/>
  <c r="CI261" i="13"/>
  <c r="CJ261" i="13"/>
  <c r="BY261" i="13"/>
  <c r="BU261" i="13"/>
  <c r="BV261" i="13"/>
  <c r="CE261" i="13"/>
  <c r="CD261" i="13"/>
  <c r="BW261" i="13"/>
  <c r="CF261" i="13"/>
  <c r="BX261" i="13"/>
  <c r="CG261" i="13"/>
  <c r="CH261" i="13"/>
  <c r="AT261" i="13"/>
  <c r="BC261" i="13"/>
  <c r="AZ261" i="13"/>
  <c r="BL261" i="13"/>
  <c r="AW261" i="13"/>
  <c r="BE261" i="13"/>
  <c r="BQ261" i="13"/>
  <c r="BI261" i="13"/>
  <c r="AY261" i="13"/>
  <c r="AV261" i="13"/>
  <c r="BH261" i="13"/>
  <c r="BB261" i="13"/>
  <c r="AU261" i="13"/>
  <c r="BK261" i="13"/>
  <c r="BG261" i="13"/>
  <c r="BM261" i="13"/>
  <c r="BO261" i="13"/>
  <c r="BP261" i="13"/>
  <c r="BA261" i="13"/>
  <c r="AX261" i="13"/>
  <c r="BD261" i="13"/>
  <c r="BJ261" i="13"/>
  <c r="BF261" i="13"/>
  <c r="BN261" i="13"/>
  <c r="A263" i="13"/>
  <c r="AS262" i="13"/>
  <c r="BT262" i="13" l="1"/>
  <c r="BS262" i="13"/>
  <c r="BR262" i="13"/>
  <c r="CC262" i="13"/>
  <c r="BZ262" i="13"/>
  <c r="CA262" i="13"/>
  <c r="CB262" i="13"/>
  <c r="CI262" i="13"/>
  <c r="BV262" i="13"/>
  <c r="CJ262" i="13"/>
  <c r="BY262" i="13"/>
  <c r="BU262" i="13"/>
  <c r="CE262" i="13"/>
  <c r="CG262" i="13"/>
  <c r="BW262" i="13"/>
  <c r="CH262" i="13"/>
  <c r="BX262" i="13"/>
  <c r="CF262" i="13"/>
  <c r="CD262" i="13"/>
  <c r="BD262" i="13"/>
  <c r="BN262" i="13"/>
  <c r="BL262" i="13"/>
  <c r="AT262" i="13"/>
  <c r="BM262" i="13"/>
  <c r="BK262" i="13"/>
  <c r="BB262" i="13"/>
  <c r="AV262" i="13"/>
  <c r="BI262" i="13"/>
  <c r="BJ262" i="13"/>
  <c r="AX262" i="13"/>
  <c r="BF262" i="13"/>
  <c r="AW262" i="13"/>
  <c r="AZ262" i="13"/>
  <c r="BA262" i="13"/>
  <c r="BP262" i="13"/>
  <c r="BO262" i="13"/>
  <c r="BG262" i="13"/>
  <c r="AU262" i="13"/>
  <c r="BH262" i="13"/>
  <c r="AY262" i="13"/>
  <c r="BQ262" i="13"/>
  <c r="BE262" i="13"/>
  <c r="BC262" i="13"/>
  <c r="A264" i="13"/>
  <c r="AS263" i="13"/>
  <c r="BT263" i="13" l="1"/>
  <c r="BS263" i="13"/>
  <c r="BR263" i="13"/>
  <c r="CC263" i="13"/>
  <c r="BZ263" i="13"/>
  <c r="CB263" i="13"/>
  <c r="CA263" i="13"/>
  <c r="CI263" i="13"/>
  <c r="BU263" i="13"/>
  <c r="CE263" i="13"/>
  <c r="BY263" i="13"/>
  <c r="BV263" i="13"/>
  <c r="CJ263" i="13"/>
  <c r="BX263" i="13"/>
  <c r="CD263" i="13"/>
  <c r="CF263" i="13"/>
  <c r="BW263" i="13"/>
  <c r="CG263" i="13"/>
  <c r="CH263" i="13"/>
  <c r="A265" i="13"/>
  <c r="AS264" i="13"/>
  <c r="BM263" i="13"/>
  <c r="BK263" i="13"/>
  <c r="AT263" i="13"/>
  <c r="BQ263" i="13"/>
  <c r="BG263" i="13"/>
  <c r="AZ263" i="13"/>
  <c r="BJ263" i="13"/>
  <c r="BB263" i="13"/>
  <c r="BC263" i="13"/>
  <c r="AV263" i="13"/>
  <c r="BL263" i="13"/>
  <c r="BN263" i="13"/>
  <c r="AY263" i="13"/>
  <c r="AU263" i="13"/>
  <c r="BO263" i="13"/>
  <c r="BA263" i="13"/>
  <c r="AW263" i="13"/>
  <c r="AX263" i="13"/>
  <c r="BI263" i="13"/>
  <c r="BD263" i="13"/>
  <c r="BE263" i="13"/>
  <c r="BH263" i="13"/>
  <c r="BP263" i="13"/>
  <c r="BF263" i="13"/>
  <c r="BR264" i="13" l="1"/>
  <c r="BT264" i="13"/>
  <c r="BS264" i="13"/>
  <c r="CC264" i="13"/>
  <c r="BZ264" i="13"/>
  <c r="CB264" i="13"/>
  <c r="CA264" i="13"/>
  <c r="CI264" i="13"/>
  <c r="BV264" i="13"/>
  <c r="CJ264" i="13"/>
  <c r="BY264" i="13"/>
  <c r="BU264" i="13"/>
  <c r="CE264" i="13"/>
  <c r="CG264" i="13"/>
  <c r="CH264" i="13"/>
  <c r="BX264" i="13"/>
  <c r="CF264" i="13"/>
  <c r="CD264" i="13"/>
  <c r="BW264" i="13"/>
  <c r="AU264" i="13"/>
  <c r="BC264" i="13"/>
  <c r="BJ264" i="13"/>
  <c r="AZ264" i="13"/>
  <c r="BG264" i="13"/>
  <c r="BQ264" i="13"/>
  <c r="AT264" i="13"/>
  <c r="BD264" i="13"/>
  <c r="BI264" i="13"/>
  <c r="AW264" i="13"/>
  <c r="BO264" i="13"/>
  <c r="AY264" i="13"/>
  <c r="BL264" i="13"/>
  <c r="AV264" i="13"/>
  <c r="BB264" i="13"/>
  <c r="BF264" i="13"/>
  <c r="BP264" i="13"/>
  <c r="BH264" i="13"/>
  <c r="BE264" i="13"/>
  <c r="BK264" i="13"/>
  <c r="BM264" i="13"/>
  <c r="AX264" i="13"/>
  <c r="BA264" i="13"/>
  <c r="BN264" i="13"/>
  <c r="A266" i="13"/>
  <c r="AS265" i="13"/>
  <c r="BR265" i="13" l="1"/>
  <c r="BT265" i="13"/>
  <c r="BS265" i="13"/>
  <c r="CC265" i="13"/>
  <c r="BZ265" i="13"/>
  <c r="CA265" i="13"/>
  <c r="CB265" i="13"/>
  <c r="CI265" i="13"/>
  <c r="CE265" i="13"/>
  <c r="BU265" i="13"/>
  <c r="BY265" i="13"/>
  <c r="CJ265" i="13"/>
  <c r="BV265" i="13"/>
  <c r="BW265" i="13"/>
  <c r="CH265" i="13"/>
  <c r="CF265" i="13"/>
  <c r="BX265" i="13"/>
  <c r="CD265" i="13"/>
  <c r="CG265" i="13"/>
  <c r="A267" i="13"/>
  <c r="AS266" i="13"/>
  <c r="BC265" i="13"/>
  <c r="AU265" i="13"/>
  <c r="BK265" i="13"/>
  <c r="BF265" i="13"/>
  <c r="AY265" i="13"/>
  <c r="BD265" i="13"/>
  <c r="AZ265" i="13"/>
  <c r="BH265" i="13"/>
  <c r="AW265" i="13"/>
  <c r="BA265" i="13"/>
  <c r="BO265" i="13"/>
  <c r="BJ265" i="13"/>
  <c r="BN265" i="13"/>
  <c r="BM265" i="13"/>
  <c r="BP265" i="13"/>
  <c r="BL265" i="13"/>
  <c r="BI265" i="13"/>
  <c r="BG265" i="13"/>
  <c r="AX265" i="13"/>
  <c r="AV265" i="13"/>
  <c r="BQ265" i="13"/>
  <c r="BE265" i="13"/>
  <c r="BB265" i="13"/>
  <c r="AT265" i="13"/>
  <c r="BT266" i="13" l="1"/>
  <c r="BS266" i="13"/>
  <c r="BR266" i="13"/>
  <c r="CC266" i="13"/>
  <c r="BZ266" i="13"/>
  <c r="CA266" i="13"/>
  <c r="CB266" i="13"/>
  <c r="CI266" i="13"/>
  <c r="CE266" i="13"/>
  <c r="BU266" i="13"/>
  <c r="CJ266" i="13"/>
  <c r="BY266" i="13"/>
  <c r="BV266" i="13"/>
  <c r="CG266" i="13"/>
  <c r="CH266" i="13"/>
  <c r="CD266" i="13"/>
  <c r="CF266" i="13"/>
  <c r="BX266" i="13"/>
  <c r="BW266" i="13"/>
  <c r="AW266" i="13"/>
  <c r="BD266" i="13"/>
  <c r="AU266" i="13"/>
  <c r="BL266" i="13"/>
  <c r="BJ266" i="13"/>
  <c r="BE266" i="13"/>
  <c r="BQ266" i="13"/>
  <c r="AV266" i="13"/>
  <c r="AZ266" i="13"/>
  <c r="AY266" i="13"/>
  <c r="BK266" i="13"/>
  <c r="BC266" i="13"/>
  <c r="BI266" i="13"/>
  <c r="BP266" i="13"/>
  <c r="BN266" i="13"/>
  <c r="AT266" i="13"/>
  <c r="BB266" i="13"/>
  <c r="BA266" i="13"/>
  <c r="BH266" i="13"/>
  <c r="BG266" i="13"/>
  <c r="BF266" i="13"/>
  <c r="AX266" i="13"/>
  <c r="BM266" i="13"/>
  <c r="BO266" i="13"/>
  <c r="A268" i="13"/>
  <c r="AS267" i="13"/>
  <c r="BS267" i="13" l="1"/>
  <c r="BR267" i="13"/>
  <c r="BT267" i="13"/>
  <c r="CC267" i="13"/>
  <c r="BZ267" i="13"/>
  <c r="CA267" i="13"/>
  <c r="CB267" i="13"/>
  <c r="CI267" i="13"/>
  <c r="BY267" i="13"/>
  <c r="BU267" i="13"/>
  <c r="BV267" i="13"/>
  <c r="CE267" i="13"/>
  <c r="CJ267" i="13"/>
  <c r="BW267" i="13"/>
  <c r="CG267" i="13"/>
  <c r="CD267" i="13"/>
  <c r="CH267" i="13"/>
  <c r="BX267" i="13"/>
  <c r="CF267" i="13"/>
  <c r="AU267" i="13"/>
  <c r="BB267" i="13"/>
  <c r="BI267" i="13"/>
  <c r="AZ267" i="13"/>
  <c r="BE267" i="13"/>
  <c r="BM267" i="13"/>
  <c r="AX267" i="13"/>
  <c r="BD267" i="13"/>
  <c r="BH267" i="13"/>
  <c r="BO267" i="13"/>
  <c r="BA267" i="13"/>
  <c r="AT267" i="13"/>
  <c r="BP267" i="13"/>
  <c r="BC267" i="13"/>
  <c r="AY267" i="13"/>
  <c r="BQ267" i="13"/>
  <c r="BJ267" i="13"/>
  <c r="BL267" i="13"/>
  <c r="BF267" i="13"/>
  <c r="BG267" i="13"/>
  <c r="AW267" i="13"/>
  <c r="BN267" i="13"/>
  <c r="BK267" i="13"/>
  <c r="AV267" i="13"/>
  <c r="A269" i="13"/>
  <c r="AS268" i="13"/>
  <c r="BT268" i="13" l="1"/>
  <c r="BS268" i="13"/>
  <c r="BR268" i="13"/>
  <c r="CC268" i="13"/>
  <c r="BZ268" i="13"/>
  <c r="CB268" i="13"/>
  <c r="CA268" i="13"/>
  <c r="CI268" i="13"/>
  <c r="BV268" i="13"/>
  <c r="CE268" i="13"/>
  <c r="CJ268" i="13"/>
  <c r="BY268" i="13"/>
  <c r="BU268" i="13"/>
  <c r="CH268" i="13"/>
  <c r="BX268" i="13"/>
  <c r="CG268" i="13"/>
  <c r="CD268" i="13"/>
  <c r="CF268" i="13"/>
  <c r="BW268" i="13"/>
  <c r="AV268" i="13"/>
  <c r="BK268" i="13"/>
  <c r="BN268" i="13"/>
  <c r="AU268" i="13"/>
  <c r="BG268" i="13"/>
  <c r="BL268" i="13"/>
  <c r="BQ268" i="13"/>
  <c r="AY268" i="13"/>
  <c r="BP268" i="13"/>
  <c r="BA268" i="13"/>
  <c r="BH268" i="13"/>
  <c r="AX268" i="13"/>
  <c r="BE268" i="13"/>
  <c r="AZ268" i="13"/>
  <c r="BI268" i="13"/>
  <c r="BB268" i="13"/>
  <c r="AW268" i="13"/>
  <c r="BF268" i="13"/>
  <c r="BJ268" i="13"/>
  <c r="BC268" i="13"/>
  <c r="AT268" i="13"/>
  <c r="BO268" i="13"/>
  <c r="BD268" i="13"/>
  <c r="BM268" i="13"/>
  <c r="A270" i="13"/>
  <c r="AS269" i="13"/>
  <c r="BS269" i="13" l="1"/>
  <c r="BR269" i="13"/>
  <c r="BT269" i="13"/>
  <c r="CC269" i="13"/>
  <c r="BZ269" i="13"/>
  <c r="CB269" i="13"/>
  <c r="CA269" i="13"/>
  <c r="CI269" i="13"/>
  <c r="BY269" i="13"/>
  <c r="BV269" i="13"/>
  <c r="CE269" i="13"/>
  <c r="CJ269" i="13"/>
  <c r="BU269" i="13"/>
  <c r="CF269" i="13"/>
  <c r="CH269" i="13"/>
  <c r="CG269" i="13"/>
  <c r="CD269" i="13"/>
  <c r="BX269" i="13"/>
  <c r="BW269" i="13"/>
  <c r="AT269" i="13"/>
  <c r="BF269" i="13"/>
  <c r="BB269" i="13"/>
  <c r="AZ269" i="13"/>
  <c r="AX269" i="13"/>
  <c r="BA269" i="13"/>
  <c r="AY269" i="13"/>
  <c r="BL269" i="13"/>
  <c r="BK269" i="13"/>
  <c r="BM269" i="13"/>
  <c r="BO269" i="13"/>
  <c r="BC269" i="13"/>
  <c r="BJ269" i="13"/>
  <c r="AW269" i="13"/>
  <c r="BI269" i="13"/>
  <c r="BE269" i="13"/>
  <c r="BH269" i="13"/>
  <c r="BP269" i="13"/>
  <c r="BQ269" i="13"/>
  <c r="BG269" i="13"/>
  <c r="BN269" i="13"/>
  <c r="AV269" i="13"/>
  <c r="BD269" i="13"/>
  <c r="AU269" i="13"/>
  <c r="A271" i="13"/>
  <c r="AS270" i="13"/>
  <c r="BT270" i="13" l="1"/>
  <c r="BS270" i="13"/>
  <c r="BR270" i="13"/>
  <c r="CC270" i="13"/>
  <c r="BZ270" i="13"/>
  <c r="CA270" i="13"/>
  <c r="CB270" i="13"/>
  <c r="CI270" i="13"/>
  <c r="BY270" i="13"/>
  <c r="BU270" i="13"/>
  <c r="BV270" i="13"/>
  <c r="CJ270" i="13"/>
  <c r="CE270" i="13"/>
  <c r="CH270" i="13"/>
  <c r="CG270" i="13"/>
  <c r="CF270" i="13"/>
  <c r="BW270" i="13"/>
  <c r="BX270" i="13"/>
  <c r="CD270" i="13"/>
  <c r="BP270" i="13"/>
  <c r="AW270" i="13"/>
  <c r="BM270" i="13"/>
  <c r="AU270" i="13"/>
  <c r="BF270" i="13"/>
  <c r="BQ270" i="13"/>
  <c r="BI270" i="13"/>
  <c r="BO270" i="13"/>
  <c r="BK270" i="13"/>
  <c r="BA270" i="13"/>
  <c r="BD270" i="13"/>
  <c r="AY270" i="13"/>
  <c r="BB270" i="13"/>
  <c r="AV270" i="13"/>
  <c r="BG270" i="13"/>
  <c r="BE270" i="13"/>
  <c r="BC270" i="13"/>
  <c r="BL270" i="13"/>
  <c r="AZ270" i="13"/>
  <c r="AT270" i="13"/>
  <c r="AX270" i="13"/>
  <c r="BN270" i="13"/>
  <c r="BH270" i="13"/>
  <c r="BJ270" i="13"/>
  <c r="A272" i="13"/>
  <c r="AS271" i="13"/>
  <c r="BR271" i="13" l="1"/>
  <c r="BS271" i="13"/>
  <c r="BT271" i="13"/>
  <c r="CC271" i="13"/>
  <c r="BZ271" i="13"/>
  <c r="CB271" i="13"/>
  <c r="CA271" i="13"/>
  <c r="CI271" i="13"/>
  <c r="BV271" i="13"/>
  <c r="BU271" i="13"/>
  <c r="BY271" i="13"/>
  <c r="CJ271" i="13"/>
  <c r="CE271" i="13"/>
  <c r="CD271" i="13"/>
  <c r="BW271" i="13"/>
  <c r="CH271" i="13"/>
  <c r="CF271" i="13"/>
  <c r="CG271" i="13"/>
  <c r="BX271" i="13"/>
  <c r="A273" i="13"/>
  <c r="AS272" i="13"/>
  <c r="AV271" i="13"/>
  <c r="AX271" i="13"/>
  <c r="BI271" i="13"/>
  <c r="AZ271" i="13"/>
  <c r="BE271" i="13"/>
  <c r="BB271" i="13"/>
  <c r="BA271" i="13"/>
  <c r="BJ271" i="13"/>
  <c r="BN271" i="13"/>
  <c r="AT271" i="13"/>
  <c r="BO271" i="13"/>
  <c r="BQ271" i="13"/>
  <c r="AU271" i="13"/>
  <c r="BM271" i="13"/>
  <c r="AW271" i="13"/>
  <c r="BP271" i="13"/>
  <c r="AY271" i="13"/>
  <c r="BK271" i="13"/>
  <c r="BH271" i="13"/>
  <c r="BL271" i="13"/>
  <c r="BF271" i="13"/>
  <c r="BC271" i="13"/>
  <c r="BG271" i="13"/>
  <c r="BD271" i="13"/>
  <c r="BS272" i="13" l="1"/>
  <c r="BR272" i="13"/>
  <c r="BT272" i="13"/>
  <c r="CC272" i="13"/>
  <c r="BZ272" i="13"/>
  <c r="CA272" i="13"/>
  <c r="CB272" i="13"/>
  <c r="CI272" i="13"/>
  <c r="CJ272" i="13"/>
  <c r="BU272" i="13"/>
  <c r="BY272" i="13"/>
  <c r="CE272" i="13"/>
  <c r="BV272" i="13"/>
  <c r="BW272" i="13"/>
  <c r="CD272" i="13"/>
  <c r="CH272" i="13"/>
  <c r="CF272" i="13"/>
  <c r="BX272" i="13"/>
  <c r="CG272" i="13"/>
  <c r="BD272" i="13"/>
  <c r="BE272" i="13"/>
  <c r="BF272" i="13"/>
  <c r="BL272" i="13"/>
  <c r="BH272" i="13"/>
  <c r="BB272" i="13"/>
  <c r="BK272" i="13"/>
  <c r="AY272" i="13"/>
  <c r="BP272" i="13"/>
  <c r="BM272" i="13"/>
  <c r="BQ272" i="13"/>
  <c r="AT272" i="13"/>
  <c r="BJ272" i="13"/>
  <c r="BG272" i="13"/>
  <c r="AZ272" i="13"/>
  <c r="BI272" i="13"/>
  <c r="AX272" i="13"/>
  <c r="BA272" i="13"/>
  <c r="BC272" i="13"/>
  <c r="AV272" i="13"/>
  <c r="AW272" i="13"/>
  <c r="AU272" i="13"/>
  <c r="BO272" i="13"/>
  <c r="BN272" i="13"/>
  <c r="A274" i="13"/>
  <c r="AS273" i="13"/>
  <c r="BR273" i="13" l="1"/>
  <c r="BS273" i="13"/>
  <c r="BT273" i="13"/>
  <c r="CC273" i="13"/>
  <c r="BZ273" i="13"/>
  <c r="CB273" i="13"/>
  <c r="CA273" i="13"/>
  <c r="CI273" i="13"/>
  <c r="BY273" i="13"/>
  <c r="CJ273" i="13"/>
  <c r="BU273" i="13"/>
  <c r="CE273" i="13"/>
  <c r="BV273" i="13"/>
  <c r="CG273" i="13"/>
  <c r="CH273" i="13"/>
  <c r="BX273" i="13"/>
  <c r="CF273" i="13"/>
  <c r="CD273" i="13"/>
  <c r="BW273" i="13"/>
  <c r="BO273" i="13"/>
  <c r="BA273" i="13"/>
  <c r="BI273" i="13"/>
  <c r="BG273" i="13"/>
  <c r="AT273" i="13"/>
  <c r="AY273" i="13"/>
  <c r="BE273" i="13"/>
  <c r="BN273" i="13"/>
  <c r="AU273" i="13"/>
  <c r="AV273" i="13"/>
  <c r="BC273" i="13"/>
  <c r="AX273" i="13"/>
  <c r="AZ273" i="13"/>
  <c r="BJ273" i="13"/>
  <c r="BQ273" i="13"/>
  <c r="BP273" i="13"/>
  <c r="BK273" i="13"/>
  <c r="BH273" i="13"/>
  <c r="BF273" i="13"/>
  <c r="BD273" i="13"/>
  <c r="AW273" i="13"/>
  <c r="BM273" i="13"/>
  <c r="BB273" i="13"/>
  <c r="BL273" i="13"/>
  <c r="A275" i="13"/>
  <c r="AS274" i="13"/>
  <c r="BS274" i="13" l="1"/>
  <c r="BR274" i="13"/>
  <c r="BT274" i="13"/>
  <c r="CC274" i="13"/>
  <c r="BZ274" i="13"/>
  <c r="CB274" i="13"/>
  <c r="CA274" i="13"/>
  <c r="CI274" i="13"/>
  <c r="CJ274" i="13"/>
  <c r="BV274" i="13"/>
  <c r="BY274" i="13"/>
  <c r="CE274" i="13"/>
  <c r="BU274" i="13"/>
  <c r="BW274" i="13"/>
  <c r="CF274" i="13"/>
  <c r="CD274" i="13"/>
  <c r="CH274" i="13"/>
  <c r="BX274" i="13"/>
  <c r="CG274" i="13"/>
  <c r="BL274" i="13"/>
  <c r="AY274" i="13"/>
  <c r="AT274" i="13"/>
  <c r="BG274" i="13"/>
  <c r="BA274" i="13"/>
  <c r="AW274" i="13"/>
  <c r="BP274" i="13"/>
  <c r="BJ274" i="13"/>
  <c r="AZ274" i="13"/>
  <c r="AU274" i="13"/>
  <c r="BE274" i="13"/>
  <c r="BF274" i="13"/>
  <c r="BK274" i="13"/>
  <c r="BQ274" i="13"/>
  <c r="AX274" i="13"/>
  <c r="AV274" i="13"/>
  <c r="BN274" i="13"/>
  <c r="BB274" i="13"/>
  <c r="BM274" i="13"/>
  <c r="BI274" i="13"/>
  <c r="BO274" i="13"/>
  <c r="BD274" i="13"/>
  <c r="BH274" i="13"/>
  <c r="BC274" i="13"/>
  <c r="A276" i="13"/>
  <c r="AS275" i="13"/>
  <c r="BT275" i="13" l="1"/>
  <c r="BS275" i="13"/>
  <c r="BR275" i="13"/>
  <c r="CC275" i="13"/>
  <c r="BZ275" i="13"/>
  <c r="CA275" i="13"/>
  <c r="CB275" i="13"/>
  <c r="CI275" i="13"/>
  <c r="CJ275" i="13"/>
  <c r="BY275" i="13"/>
  <c r="BU275" i="13"/>
  <c r="CE275" i="13"/>
  <c r="BV275" i="13"/>
  <c r="BW275" i="13"/>
  <c r="CH275" i="13"/>
  <c r="CG275" i="13"/>
  <c r="CF275" i="13"/>
  <c r="CD275" i="13"/>
  <c r="BX275" i="13"/>
  <c r="BC275" i="13"/>
  <c r="BH275" i="13"/>
  <c r="BA275" i="13"/>
  <c r="BN275" i="13"/>
  <c r="BK275" i="13"/>
  <c r="AX275" i="13"/>
  <c r="BD275" i="13"/>
  <c r="BG275" i="13"/>
  <c r="BF275" i="13"/>
  <c r="AU275" i="13"/>
  <c r="BP275" i="13"/>
  <c r="BB275" i="13"/>
  <c r="BL275" i="13"/>
  <c r="BQ275" i="13"/>
  <c r="AY275" i="13"/>
  <c r="BJ275" i="13"/>
  <c r="BO275" i="13"/>
  <c r="BM275" i="13"/>
  <c r="AT275" i="13"/>
  <c r="BE275" i="13"/>
  <c r="AW275" i="13"/>
  <c r="AZ275" i="13"/>
  <c r="BI275" i="13"/>
  <c r="AV275" i="13"/>
  <c r="A277" i="13"/>
  <c r="AS276" i="13"/>
  <c r="BS276" i="13" l="1"/>
  <c r="BR276" i="13"/>
  <c r="BT276" i="13"/>
  <c r="CC276" i="13"/>
  <c r="BZ276" i="13"/>
  <c r="CA276" i="13"/>
  <c r="CB276" i="13"/>
  <c r="CI276" i="13"/>
  <c r="BY276" i="13"/>
  <c r="BV276" i="13"/>
  <c r="CJ276" i="13"/>
  <c r="BU276" i="13"/>
  <c r="CE276" i="13"/>
  <c r="CH276" i="13"/>
  <c r="BX276" i="13"/>
  <c r="CF276" i="13"/>
  <c r="CG276" i="13"/>
  <c r="BW276" i="13"/>
  <c r="CD276" i="13"/>
  <c r="A278" i="13"/>
  <c r="AS277" i="13"/>
  <c r="AX276" i="13"/>
  <c r="AU276" i="13"/>
  <c r="BN276" i="13"/>
  <c r="BJ276" i="13"/>
  <c r="BL276" i="13"/>
  <c r="BC276" i="13"/>
  <c r="BM276" i="13"/>
  <c r="BF276" i="13"/>
  <c r="BG276" i="13"/>
  <c r="AZ276" i="13"/>
  <c r="BE276" i="13"/>
  <c r="BO276" i="13"/>
  <c r="BP276" i="13"/>
  <c r="BK276" i="13"/>
  <c r="BA276" i="13"/>
  <c r="AY276" i="13"/>
  <c r="BB276" i="13"/>
  <c r="BH276" i="13"/>
  <c r="AT276" i="13"/>
  <c r="BQ276" i="13"/>
  <c r="AV276" i="13"/>
  <c r="BI276" i="13"/>
  <c r="BD276" i="13"/>
  <c r="AW276" i="13"/>
  <c r="BR277" i="13" l="1"/>
  <c r="BT277" i="13"/>
  <c r="BS277" i="13"/>
  <c r="CC277" i="13"/>
  <c r="BZ277" i="13"/>
  <c r="CA277" i="13"/>
  <c r="CB277" i="13"/>
  <c r="CI277" i="13"/>
  <c r="CJ277" i="13"/>
  <c r="BU277" i="13"/>
  <c r="BV277" i="13"/>
  <c r="CE277" i="13"/>
  <c r="BY277" i="13"/>
  <c r="CD277" i="13"/>
  <c r="CF277" i="13"/>
  <c r="BX277" i="13"/>
  <c r="BW277" i="13"/>
  <c r="CH277" i="13"/>
  <c r="CG277" i="13"/>
  <c r="BF277" i="13"/>
  <c r="BN277" i="13"/>
  <c r="AX277" i="13"/>
  <c r="BD277" i="13"/>
  <c r="AV277" i="13"/>
  <c r="AT277" i="13"/>
  <c r="BL277" i="13"/>
  <c r="AY277" i="13"/>
  <c r="BK277" i="13"/>
  <c r="BO277" i="13"/>
  <c r="BB277" i="13"/>
  <c r="BA277" i="13"/>
  <c r="BP277" i="13"/>
  <c r="BE277" i="13"/>
  <c r="BG277" i="13"/>
  <c r="BC277" i="13"/>
  <c r="AU277" i="13"/>
  <c r="AW277" i="13"/>
  <c r="BI277" i="13"/>
  <c r="BQ277" i="13"/>
  <c r="BH277" i="13"/>
  <c r="BJ277" i="13"/>
  <c r="AZ277" i="13"/>
  <c r="BM277" i="13"/>
  <c r="A279" i="13"/>
  <c r="AS278" i="13"/>
  <c r="BT278" i="13" l="1"/>
  <c r="BS278" i="13"/>
  <c r="BR278" i="13"/>
  <c r="CC278" i="13"/>
  <c r="BZ278" i="13"/>
  <c r="CA278" i="13"/>
  <c r="CB278" i="13"/>
  <c r="CI278" i="13"/>
  <c r="BU278" i="13"/>
  <c r="CE278" i="13"/>
  <c r="CJ278" i="13"/>
  <c r="BV278" i="13"/>
  <c r="BY278" i="13"/>
  <c r="BX278" i="13"/>
  <c r="CH278" i="13"/>
  <c r="CG278" i="13"/>
  <c r="CF278" i="13"/>
  <c r="BW278" i="13"/>
  <c r="CD278" i="13"/>
  <c r="BH278" i="13"/>
  <c r="BI278" i="13"/>
  <c r="AU278" i="13"/>
  <c r="BB278" i="13"/>
  <c r="BL278" i="13"/>
  <c r="AT278" i="13"/>
  <c r="BD278" i="13"/>
  <c r="BF278" i="13"/>
  <c r="BM278" i="13"/>
  <c r="BO278" i="13"/>
  <c r="AY278" i="13"/>
  <c r="BN278" i="13"/>
  <c r="BC278" i="13"/>
  <c r="BE278" i="13"/>
  <c r="BA278" i="13"/>
  <c r="BQ278" i="13"/>
  <c r="AW278" i="13"/>
  <c r="AV278" i="13"/>
  <c r="AX278" i="13"/>
  <c r="AZ278" i="13"/>
  <c r="BK278" i="13"/>
  <c r="BJ278" i="13"/>
  <c r="BG278" i="13"/>
  <c r="BP278" i="13"/>
  <c r="A280" i="13"/>
  <c r="AS279" i="13"/>
  <c r="BR279" i="13" l="1"/>
  <c r="BT279" i="13"/>
  <c r="BS279" i="13"/>
  <c r="CC279" i="13"/>
  <c r="BZ279" i="13"/>
  <c r="CB279" i="13"/>
  <c r="CA279" i="13"/>
  <c r="CI279" i="13"/>
  <c r="BU279" i="13"/>
  <c r="CJ279" i="13"/>
  <c r="CE279" i="13"/>
  <c r="BY279" i="13"/>
  <c r="BV279" i="13"/>
  <c r="CD279" i="13"/>
  <c r="CF279" i="13"/>
  <c r="CH279" i="13"/>
  <c r="CG279" i="13"/>
  <c r="BW279" i="13"/>
  <c r="BX279" i="13"/>
  <c r="BQ279" i="13"/>
  <c r="BE279" i="13"/>
  <c r="BN279" i="13"/>
  <c r="BO279" i="13"/>
  <c r="BF279" i="13"/>
  <c r="AT279" i="13"/>
  <c r="AU279" i="13"/>
  <c r="BH279" i="13"/>
  <c r="BP279" i="13"/>
  <c r="BJ279" i="13"/>
  <c r="AZ279" i="13"/>
  <c r="AV279" i="13"/>
  <c r="AW279" i="13"/>
  <c r="BA279" i="13"/>
  <c r="BC279" i="13"/>
  <c r="AY279" i="13"/>
  <c r="BM279" i="13"/>
  <c r="BD279" i="13"/>
  <c r="BL279" i="13"/>
  <c r="BI279" i="13"/>
  <c r="BB279" i="13"/>
  <c r="BG279" i="13"/>
  <c r="BK279" i="13"/>
  <c r="AX279" i="13"/>
  <c r="A281" i="13"/>
  <c r="AS280" i="13"/>
  <c r="BT280" i="13" l="1"/>
  <c r="BS280" i="13"/>
  <c r="BR280" i="13"/>
  <c r="CC280" i="13"/>
  <c r="BZ280" i="13"/>
  <c r="CB280" i="13"/>
  <c r="CA280" i="13"/>
  <c r="CI280" i="13"/>
  <c r="CJ280" i="13"/>
  <c r="BU280" i="13"/>
  <c r="BY280" i="13"/>
  <c r="CE280" i="13"/>
  <c r="BV280" i="13"/>
  <c r="BW280" i="13"/>
  <c r="CH280" i="13"/>
  <c r="CD280" i="13"/>
  <c r="BX280" i="13"/>
  <c r="CG280" i="13"/>
  <c r="CF280" i="13"/>
  <c r="AX280" i="13"/>
  <c r="BD280" i="13"/>
  <c r="BA280" i="13"/>
  <c r="BJ280" i="13"/>
  <c r="AT280" i="13"/>
  <c r="BO280" i="13"/>
  <c r="BE280" i="13"/>
  <c r="BK280" i="13"/>
  <c r="BB280" i="13"/>
  <c r="BL280" i="13"/>
  <c r="BM280" i="13"/>
  <c r="BC280" i="13"/>
  <c r="AW280" i="13"/>
  <c r="AZ280" i="13"/>
  <c r="BP280" i="13"/>
  <c r="AU280" i="13"/>
  <c r="BF280" i="13"/>
  <c r="BN280" i="13"/>
  <c r="BQ280" i="13"/>
  <c r="BG280" i="13"/>
  <c r="BI280" i="13"/>
  <c r="AY280" i="13"/>
  <c r="AV280" i="13"/>
  <c r="BH280" i="13"/>
  <c r="A282" i="13"/>
  <c r="AS282" i="13" s="1"/>
  <c r="AS281" i="13"/>
  <c r="BR282" i="13" l="1"/>
  <c r="BT282" i="13"/>
  <c r="BS282" i="13"/>
  <c r="BS281" i="13"/>
  <c r="BR281" i="13"/>
  <c r="BT281" i="13"/>
  <c r="CC281" i="13"/>
  <c r="BZ281" i="13"/>
  <c r="CB281" i="13"/>
  <c r="CA281" i="13"/>
  <c r="CC282" i="13"/>
  <c r="CC283" i="13" s="1"/>
  <c r="S13" i="11" s="1"/>
  <c r="BZ282" i="13"/>
  <c r="BZ283" i="13" s="1"/>
  <c r="S10" i="11" s="1"/>
  <c r="CB282" i="13"/>
  <c r="CB283" i="13" s="1"/>
  <c r="S12" i="11" s="1"/>
  <c r="CA282" i="13"/>
  <c r="CA283" i="13" s="1"/>
  <c r="S11" i="11" s="1"/>
  <c r="CI281" i="13"/>
  <c r="CE281" i="13"/>
  <c r="BU281" i="13"/>
  <c r="CJ281" i="13"/>
  <c r="BV281" i="13"/>
  <c r="BY281" i="13"/>
  <c r="BW281" i="13"/>
  <c r="CF281" i="13"/>
  <c r="CG281" i="13"/>
  <c r="BX281" i="13"/>
  <c r="CH281" i="13"/>
  <c r="CD281" i="13"/>
  <c r="CI282" i="13"/>
  <c r="BU282" i="13"/>
  <c r="BU283" i="13" s="1"/>
  <c r="CJ282" i="13"/>
  <c r="CE282" i="13"/>
  <c r="BV282" i="13"/>
  <c r="BV283" i="13" s="1"/>
  <c r="BY282" i="13"/>
  <c r="BY283" i="13" s="1"/>
  <c r="CD282" i="13"/>
  <c r="CH282" i="13"/>
  <c r="CG282" i="13"/>
  <c r="CG283" i="13" s="1"/>
  <c r="BX282" i="13"/>
  <c r="BX283" i="13" s="1"/>
  <c r="CF282" i="13"/>
  <c r="BW282" i="13"/>
  <c r="BW283" i="13" s="1"/>
  <c r="BO282" i="13"/>
  <c r="BM282" i="13"/>
  <c r="BQ282" i="13"/>
  <c r="BJ282" i="13"/>
  <c r="BL282" i="13"/>
  <c r="BL283" i="13" s="1"/>
  <c r="BN282" i="13"/>
  <c r="AV282" i="13"/>
  <c r="AV283" i="13" s="1"/>
  <c r="AU282" i="13"/>
  <c r="AU283" i="13" s="1"/>
  <c r="AW282" i="13"/>
  <c r="AW283" i="13" s="1"/>
  <c r="BG282" i="13"/>
  <c r="BG283" i="13" s="1"/>
  <c r="AT282" i="13"/>
  <c r="AT283" i="13" s="1"/>
  <c r="BC282" i="13"/>
  <c r="BC283" i="13" s="1"/>
  <c r="AX282" i="13"/>
  <c r="AX283" i="13" s="1"/>
  <c r="BH282" i="13"/>
  <c r="BH283" i="13" s="1"/>
  <c r="BP282" i="13"/>
  <c r="BD282" i="13"/>
  <c r="BD283" i="13" s="1"/>
  <c r="BE282" i="13"/>
  <c r="BE283" i="13" s="1"/>
  <c r="AZ282" i="13"/>
  <c r="AZ283" i="13" s="1"/>
  <c r="BI282" i="13"/>
  <c r="BI283" i="13" s="1"/>
  <c r="BB282" i="13"/>
  <c r="BB283" i="13" s="1"/>
  <c r="BF282" i="13"/>
  <c r="BF283" i="13" s="1"/>
  <c r="BA282" i="13"/>
  <c r="BA283" i="13" s="1"/>
  <c r="BK282" i="13"/>
  <c r="AY282" i="13"/>
  <c r="AY283" i="13" s="1"/>
  <c r="BP281" i="13"/>
  <c r="AW281" i="13"/>
  <c r="BB281" i="13"/>
  <c r="BO281" i="13"/>
  <c r="BH281" i="13"/>
  <c r="AV281" i="13"/>
  <c r="AY281" i="13"/>
  <c r="BI281" i="13"/>
  <c r="AX281" i="13"/>
  <c r="BN281" i="13"/>
  <c r="AU281" i="13"/>
  <c r="AZ281" i="13"/>
  <c r="BC281" i="13"/>
  <c r="BL281" i="13"/>
  <c r="BK281" i="13"/>
  <c r="BE281" i="13"/>
  <c r="AT281" i="13"/>
  <c r="BJ281" i="13"/>
  <c r="BA281" i="13"/>
  <c r="BD281" i="13"/>
  <c r="BG281" i="13"/>
  <c r="BQ281" i="13"/>
  <c r="BF281" i="13"/>
  <c r="BM281" i="13"/>
  <c r="BK283" i="13" l="1"/>
  <c r="BS283" i="13"/>
  <c r="S35" i="11" s="1"/>
  <c r="BT283" i="13"/>
  <c r="S36" i="11" s="1"/>
  <c r="BR283" i="13"/>
  <c r="S34" i="11" s="1"/>
  <c r="CI283" i="13"/>
  <c r="S19" i="11" s="1"/>
  <c r="CH283" i="13"/>
  <c r="S18" i="11" s="1"/>
  <c r="BJ283" i="13"/>
  <c r="AB30" i="11" s="1"/>
  <c r="CE283" i="13"/>
  <c r="S15" i="11" s="1"/>
  <c r="BP283" i="13"/>
  <c r="BQ283" i="13"/>
  <c r="AB31" i="11" s="1"/>
  <c r="CF283" i="13"/>
  <c r="S16" i="11" s="1"/>
  <c r="CD283" i="13"/>
  <c r="CJ283" i="13"/>
  <c r="BN283" i="13"/>
  <c r="S17" i="11" s="1"/>
  <c r="BM283" i="13"/>
  <c r="BO283" i="13"/>
  <c r="S32" i="11" s="1"/>
  <c r="S5" i="11"/>
  <c r="AB28" i="11"/>
  <c r="AB24" i="11"/>
  <c r="AB25" i="11"/>
  <c r="AB29" i="11"/>
  <c r="AB23" i="11"/>
  <c r="AB27" i="11"/>
  <c r="AB26" i="11"/>
  <c r="S9" i="11"/>
  <c r="S6" i="11"/>
  <c r="S26" i="11"/>
  <c r="S28" i="11" l="1"/>
  <c r="S27" i="11"/>
  <c r="S14" i="11"/>
  <c r="S23" i="11"/>
  <c r="S7" i="11"/>
  <c r="S24" i="11"/>
  <c r="S8" i="11"/>
  <c r="S30" i="11"/>
  <c r="S25" i="11"/>
  <c r="S31" i="11"/>
  <c r="S33" i="11"/>
  <c r="S29" i="11"/>
  <c r="BU133" i="13"/>
  <c r="BU130" i="13" l="1"/>
  <c r="BU131" i="13"/>
  <c r="BU132" i="13"/>
  <c r="BU129" i="13" l="1"/>
  <c r="BU128" i="13" l="1"/>
  <c r="BU127" i="13" l="1"/>
  <c r="BU125" i="13" l="1"/>
  <c r="BU126" i="13"/>
  <c r="BU124" i="13" l="1"/>
  <c r="BU123" i="13" l="1"/>
  <c r="BU122" i="13" l="1"/>
  <c r="BU120" i="13" l="1"/>
  <c r="BU121" i="13"/>
  <c r="BU119" i="13" l="1"/>
  <c r="BU117" i="13" l="1"/>
  <c r="BU118" i="13"/>
  <c r="BU116" i="13" l="1"/>
  <c r="AC113" i="13" l="1"/>
  <c r="BU114" i="13" s="1"/>
  <c r="BU115" i="13"/>
  <c r="AC112" i="13" l="1"/>
  <c r="BU113" i="13" s="1"/>
  <c r="AC111" i="13" l="1"/>
  <c r="BU112" i="13" s="1"/>
  <c r="AC110" i="13" l="1"/>
  <c r="AC109" i="13" l="1"/>
  <c r="BU111" i="13"/>
  <c r="AC108" i="13" l="1"/>
  <c r="BU110" i="13"/>
  <c r="AC107" i="13" l="1"/>
  <c r="BU108" i="13" s="1"/>
  <c r="BU109" i="13"/>
  <c r="AC106" i="13" l="1"/>
  <c r="AC105" i="13" l="1"/>
  <c r="AF53" i="13" s="1"/>
  <c r="BU107" i="13"/>
  <c r="AC104" i="13" l="1"/>
  <c r="BU104" i="13" s="1"/>
  <c r="BU106" i="13"/>
  <c r="BU105" i="13" l="1"/>
</calcChain>
</file>

<file path=xl/comments1.xml><?xml version="1.0" encoding="utf-8"?>
<comments xmlns="http://schemas.openxmlformats.org/spreadsheetml/2006/main">
  <authors>
    <author>静岡製作所</author>
  </authors>
  <commentList>
    <comment ref="D8" authorId="0">
      <text>
        <r>
          <rPr>
            <b/>
            <sz val="9"/>
            <color indexed="81"/>
            <rFont val="ＭＳ Ｐゴシック"/>
            <family val="3"/>
            <charset val="128"/>
          </rPr>
          <t>静岡製作所:</t>
        </r>
        <r>
          <rPr>
            <sz val="9"/>
            <color indexed="81"/>
            <rFont val="ＭＳ Ｐゴシック"/>
            <family val="3"/>
            <charset val="128"/>
          </rPr>
          <t xml:space="preserve">
19.4℃に比べて、108パーセント比</t>
        </r>
      </text>
    </comment>
    <comment ref="J8" authorId="0">
      <text>
        <r>
          <rPr>
            <b/>
            <sz val="9"/>
            <color indexed="81"/>
            <rFont val="ＭＳ Ｐゴシック"/>
            <family val="3"/>
            <charset val="128"/>
          </rPr>
          <t>静岡製作所:</t>
        </r>
        <r>
          <rPr>
            <sz val="9"/>
            <color indexed="81"/>
            <rFont val="ＭＳ Ｐゴシック"/>
            <family val="3"/>
            <charset val="128"/>
          </rPr>
          <t xml:space="preserve">
室内機定格条件に合わせた</t>
        </r>
      </text>
    </comment>
    <comment ref="A59" authorId="0">
      <text>
        <r>
          <rPr>
            <b/>
            <sz val="9"/>
            <color indexed="81"/>
            <rFont val="ＭＳ Ｐゴシック"/>
            <family val="3"/>
            <charset val="128"/>
          </rPr>
          <t>静岡製作所:</t>
        </r>
        <r>
          <rPr>
            <sz val="9"/>
            <color indexed="81"/>
            <rFont val="ＭＳ Ｐゴシック"/>
            <family val="3"/>
            <charset val="128"/>
          </rPr>
          <t xml:space="preserve">
外気温度5℃以下は
エアガイド取付要
</t>
        </r>
      </text>
    </comment>
  </commentList>
</comments>
</file>

<file path=xl/sharedStrings.xml><?xml version="1.0" encoding="utf-8"?>
<sst xmlns="http://schemas.openxmlformats.org/spreadsheetml/2006/main" count="1429" uniqueCount="455">
  <si>
    <t>Date</t>
  </si>
  <si>
    <t>Bin</t>
  </si>
  <si>
    <t>DryBulbT</t>
  </si>
  <si>
    <t>WetBulbT</t>
  </si>
  <si>
    <t>Listed Efficiencies</t>
  </si>
  <si>
    <t>KWH</t>
  </si>
  <si>
    <t>New KWH</t>
  </si>
  <si>
    <t>COP</t>
  </si>
  <si>
    <t>MSZ-FE09NA</t>
  </si>
  <si>
    <t>MSZ-FE12NA</t>
  </si>
  <si>
    <t>MSZ-FE18NA</t>
  </si>
  <si>
    <t>MUZ-FH09NA</t>
  </si>
  <si>
    <t>MUZ-FH12NA</t>
  </si>
  <si>
    <t>MUZ-FH15NA</t>
  </si>
  <si>
    <t>Heat KWH</t>
  </si>
  <si>
    <t>New Total KWH</t>
  </si>
  <si>
    <t>Winter Design</t>
  </si>
  <si>
    <t>summer design</t>
  </si>
  <si>
    <t>Rated Cool</t>
  </si>
  <si>
    <t>Rated Heat</t>
  </si>
  <si>
    <t>Heat</t>
  </si>
  <si>
    <t>Load %</t>
  </si>
  <si>
    <t>Cool</t>
  </si>
  <si>
    <t>seer</t>
  </si>
  <si>
    <t>eer</t>
  </si>
  <si>
    <t>MXZ-2C20NAHZ (Mixed)</t>
  </si>
  <si>
    <t>MXZ-2C20NAHZ (Ducted)</t>
  </si>
  <si>
    <t>MXZ-2C20NAHZ (Non-Ducted)</t>
  </si>
  <si>
    <t>MXZ-3C24NAHZ (Ducted)</t>
  </si>
  <si>
    <t>MXZ-3C30NAHZ (Ducted)</t>
  </si>
  <si>
    <t>MXZ-4C36NAHZ (Ducted)</t>
  </si>
  <si>
    <t>MXZ-5C42NAHZ (Ducted)</t>
  </si>
  <si>
    <t>MXZ-8C48NAHZ (Ducted)</t>
  </si>
  <si>
    <t>MXZ-3C24NAHZ (Mixed)</t>
  </si>
  <si>
    <t>MXZ-3C30NAHZ (Mixed)</t>
  </si>
  <si>
    <t>MXZ-4C36NAHZ (Mixed)</t>
  </si>
  <si>
    <t>MXZ-5C42NAHZ (Mixed)</t>
  </si>
  <si>
    <t>MXZ-8C48NAHZ (Mixed)</t>
  </si>
  <si>
    <t>MXZ-3C24NAHZ (Non-Ducted)</t>
  </si>
  <si>
    <t>MXZ-3C30NAHZ (Non-Ducted)</t>
  </si>
  <si>
    <t>MXZ-4C36NAHZ (Non-Ducted)</t>
  </si>
  <si>
    <t>MXZ-5C42NAHZ (Non-Ducted)</t>
  </si>
  <si>
    <t>MXZ-8C48NAHZ (Non-Ducted)</t>
  </si>
  <si>
    <t>Mitsubishi Unit</t>
  </si>
  <si>
    <t>Capacity</t>
  </si>
  <si>
    <t>Cooling</t>
  </si>
  <si>
    <t>design</t>
  </si>
  <si>
    <t>space</t>
  </si>
  <si>
    <t>Oil</t>
  </si>
  <si>
    <t>Propane</t>
  </si>
  <si>
    <t>Load BTU/h</t>
  </si>
  <si>
    <t>MBTU</t>
  </si>
  <si>
    <t>Bin Avg</t>
  </si>
  <si>
    <t>ME</t>
  </si>
  <si>
    <t>old cool</t>
  </si>
  <si>
    <t>heat</t>
  </si>
  <si>
    <t>cool</t>
  </si>
  <si>
    <t>kwh</t>
  </si>
  <si>
    <t>Sys Loss</t>
  </si>
  <si>
    <t>loss</t>
  </si>
  <si>
    <t>ME Loss</t>
  </si>
  <si>
    <t>Heat Pump</t>
  </si>
  <si>
    <t>hours&lt;25°</t>
  </si>
  <si>
    <t>Norm Hrs</t>
  </si>
  <si>
    <t>Norm hrs</t>
  </si>
  <si>
    <t>heat units</t>
  </si>
  <si>
    <t>cool kwh</t>
  </si>
  <si>
    <t>Adj. Eff</t>
  </si>
  <si>
    <t>Gals</t>
  </si>
  <si>
    <t>Therms</t>
  </si>
  <si>
    <t>BTU&lt; 25°</t>
  </si>
  <si>
    <t>heat&lt; 25</t>
  </si>
  <si>
    <t>$&lt;25</t>
  </si>
  <si>
    <t>Year</t>
  </si>
  <si>
    <t>SEER</t>
  </si>
  <si>
    <t>HSPF</t>
  </si>
  <si>
    <t>AFUE (Gas,Propane)</t>
  </si>
  <si>
    <t>AFUE (Oil)</t>
  </si>
  <si>
    <t>HSPF (HP)</t>
  </si>
  <si>
    <t>Electric</t>
  </si>
  <si>
    <t>Natural Gas</t>
  </si>
  <si>
    <t>eff_unit</t>
  </si>
  <si>
    <t>AFUE</t>
  </si>
  <si>
    <t>&lt;1978</t>
  </si>
  <si>
    <t>Heating Load</t>
  </si>
  <si>
    <t>Cooling Load</t>
  </si>
  <si>
    <t>Existing Cooling</t>
  </si>
  <si>
    <t>None</t>
  </si>
  <si>
    <t>Window AC</t>
  </si>
  <si>
    <t>Central AC</t>
  </si>
  <si>
    <t>System Loss</t>
  </si>
  <si>
    <t>Very Low</t>
  </si>
  <si>
    <t>Low</t>
  </si>
  <si>
    <t>High</t>
  </si>
  <si>
    <t>Very High</t>
  </si>
  <si>
    <t>Medium</t>
  </si>
  <si>
    <t>% of house cooled</t>
  </si>
  <si>
    <t>Utility Rates</t>
  </si>
  <si>
    <t>Existing System</t>
  </si>
  <si>
    <t>Annual Estimated Energy Use (MBTU)</t>
  </si>
  <si>
    <t>Annual Estimated Total Energy Cost</t>
  </si>
  <si>
    <t>Heating Cost</t>
  </si>
  <si>
    <t>Cooling Cost</t>
  </si>
  <si>
    <t>Mitsubishi Electric HVAC System</t>
  </si>
  <si>
    <t>Totals</t>
  </si>
  <si>
    <t>Cost ($)</t>
  </si>
  <si>
    <t>Cool $</t>
  </si>
  <si>
    <t>Heat $</t>
  </si>
  <si>
    <t>tot MBTU</t>
  </si>
  <si>
    <t>heat kwh</t>
  </si>
  <si>
    <t>Cool Loss</t>
  </si>
  <si>
    <t>Estimated Energy Cost and Savings Results</t>
  </si>
  <si>
    <t>Total Electricity (KWH)</t>
  </si>
  <si>
    <t>Heating Electricity (KWH)</t>
  </si>
  <si>
    <t>Cooling Electricity (KWH)</t>
  </si>
  <si>
    <t>Existing Heating Fuel</t>
  </si>
  <si>
    <t>System Inputs</t>
  </si>
  <si>
    <t>Fuel Source</t>
  </si>
  <si>
    <t>Unit Measure</t>
  </si>
  <si>
    <t>BTU/unit</t>
  </si>
  <si>
    <t>Cost</t>
  </si>
  <si>
    <t>Efficiency</t>
  </si>
  <si>
    <t>Distribution Losses</t>
  </si>
  <si>
    <t>Cost per Million BTU's</t>
  </si>
  <si>
    <t>kW Hour</t>
  </si>
  <si>
    <t>Gallon</t>
  </si>
  <si>
    <t>COP 2</t>
  </si>
  <si>
    <t>COP 3.5</t>
  </si>
  <si>
    <t>Therm</t>
  </si>
  <si>
    <t>Heat Cost per Million BTUs</t>
  </si>
  <si>
    <t>COP Mitsubishi</t>
  </si>
  <si>
    <t>Total</t>
  </si>
  <si>
    <t>Heating</t>
  </si>
  <si>
    <t>Annual Energy Cost Savings</t>
  </si>
  <si>
    <t>Location</t>
  </si>
  <si>
    <t>Sum T</t>
  </si>
  <si>
    <t>Win T</t>
  </si>
  <si>
    <t>Load Fact</t>
  </si>
  <si>
    <t>Equipment Efficiency</t>
  </si>
  <si>
    <t>Seer</t>
  </si>
  <si>
    <t>EER</t>
  </si>
  <si>
    <r>
      <t>COP (47</t>
    </r>
    <r>
      <rPr>
        <sz val="11"/>
        <color theme="1"/>
        <rFont val="Calibri"/>
        <family val="2"/>
      </rPr>
      <t>°)</t>
    </r>
  </si>
  <si>
    <r>
      <t>COP (17</t>
    </r>
    <r>
      <rPr>
        <sz val="11"/>
        <color theme="1"/>
        <rFont val="Calibri"/>
        <family val="2"/>
      </rPr>
      <t>°)</t>
    </r>
  </si>
  <si>
    <t>Mitsubishi Electric Unit</t>
  </si>
  <si>
    <t>Btu/h</t>
  </si>
  <si>
    <t>Existing System Loss</t>
  </si>
  <si>
    <t>KWH 25</t>
  </si>
  <si>
    <t>Mixed 25</t>
  </si>
  <si>
    <t>MBTU 25</t>
  </si>
  <si>
    <t>Backup Heat Opts</t>
  </si>
  <si>
    <t>need backup heat?</t>
  </si>
  <si>
    <t>Backup</t>
  </si>
  <si>
    <t>No</t>
  </si>
  <si>
    <t>cut-out</t>
  </si>
  <si>
    <t>Yes</t>
  </si>
  <si>
    <t>HKWH 25</t>
  </si>
  <si>
    <t>MBTU HP</t>
  </si>
  <si>
    <r>
      <t xml:space="preserve">* This estimator is meant to be used to calculate approximate cost </t>
    </r>
    <r>
      <rPr>
        <b/>
        <u/>
        <sz val="12"/>
        <color indexed="9"/>
        <rFont val="Century Gothic"/>
        <family val="2"/>
      </rPr>
      <t xml:space="preserve">comparisons only, not for design. </t>
    </r>
  </si>
  <si>
    <t xml:space="preserve"> Please note that estimated operating costs and approximate energy savings are provided for estimating purposes only.</t>
  </si>
  <si>
    <t xml:space="preserve"> Your actual costs and energy savings, if any, will vary according to such individual factors as local utility rates, </t>
  </si>
  <si>
    <t>CT</t>
  </si>
  <si>
    <t>DE</t>
  </si>
  <si>
    <t>MA</t>
  </si>
  <si>
    <t>NH</t>
  </si>
  <si>
    <t>NJ</t>
  </si>
  <si>
    <t>NY</t>
  </si>
  <si>
    <t>PA</t>
  </si>
  <si>
    <t>RI</t>
  </si>
  <si>
    <t>VT</t>
  </si>
  <si>
    <t>Hartford</t>
  </si>
  <si>
    <t>New Haven</t>
  </si>
  <si>
    <t>Dover</t>
  </si>
  <si>
    <t>Wilmington</t>
  </si>
  <si>
    <t>Barnstable</t>
  </si>
  <si>
    <t>Boston</t>
  </si>
  <si>
    <t>Springfield</t>
  </si>
  <si>
    <t>Worcester</t>
  </si>
  <si>
    <t>Bangor</t>
  </si>
  <si>
    <t>Caribou</t>
  </si>
  <si>
    <t>Portland</t>
  </si>
  <si>
    <t>Berlin</t>
  </si>
  <si>
    <t>Lebanon</t>
  </si>
  <si>
    <t>Manchester</t>
  </si>
  <si>
    <t>Atlantic City</t>
  </si>
  <si>
    <t>Newark</t>
  </si>
  <si>
    <t>Trenton</t>
  </si>
  <si>
    <t>Albany</t>
  </si>
  <si>
    <t>Binghamton</t>
  </si>
  <si>
    <t>Buffalo</t>
  </si>
  <si>
    <t>Jameston</t>
  </si>
  <si>
    <t>Long Island</t>
  </si>
  <si>
    <t>New York</t>
  </si>
  <si>
    <t>Rochester</t>
  </si>
  <si>
    <t>Syracuse</t>
  </si>
  <si>
    <t>Watertown</t>
  </si>
  <si>
    <t>Allentown</t>
  </si>
  <si>
    <t>Harrisburg</t>
  </si>
  <si>
    <t>Philadelphia</t>
  </si>
  <si>
    <t>Scranton</t>
  </si>
  <si>
    <t>State College</t>
  </si>
  <si>
    <t>Providence</t>
  </si>
  <si>
    <t>Burlington</t>
  </si>
  <si>
    <t>Rutland</t>
  </si>
  <si>
    <t>State</t>
  </si>
  <si>
    <t>City</t>
  </si>
  <si>
    <t>bp KW</t>
  </si>
  <si>
    <t>bp kw</t>
  </si>
  <si>
    <t>Pittsburgh</t>
  </si>
  <si>
    <t xml:space="preserve"> Projects may require more than one system to effectively condition at defined peak loads.  It is the responsibility of the</t>
  </si>
  <si>
    <t xml:space="preserve">     installing contractor to provide load calculations and proper equipment sizing.</t>
  </si>
  <si>
    <t>Lexington</t>
  </si>
  <si>
    <t>KY</t>
  </si>
  <si>
    <t>Louisville</t>
  </si>
  <si>
    <t>Des Moines</t>
  </si>
  <si>
    <t>IA</t>
  </si>
  <si>
    <t>Chicago</t>
  </si>
  <si>
    <t>IL</t>
  </si>
  <si>
    <t>Detroit</t>
  </si>
  <si>
    <t>MI</t>
  </si>
  <si>
    <t>Grand Rapids</t>
  </si>
  <si>
    <t>Duluth</t>
  </si>
  <si>
    <t>MN</t>
  </si>
  <si>
    <t>Minneapolis</t>
  </si>
  <si>
    <t>Kansas City</t>
  </si>
  <si>
    <t>MO</t>
  </si>
  <si>
    <t>Bismark</t>
  </si>
  <si>
    <t>ND</t>
  </si>
  <si>
    <t>North Platte</t>
  </si>
  <si>
    <t>NE</t>
  </si>
  <si>
    <t>Omaha</t>
  </si>
  <si>
    <t>Cincinnati</t>
  </si>
  <si>
    <t>OH</t>
  </si>
  <si>
    <t>Cleveland</t>
  </si>
  <si>
    <t>Columbus</t>
  </si>
  <si>
    <t>Rapid City</t>
  </si>
  <si>
    <t>SD</t>
  </si>
  <si>
    <t>Sioux Falls</t>
  </si>
  <si>
    <t>Green Bay</t>
  </si>
  <si>
    <t>WI</t>
  </si>
  <si>
    <t>Milwaukee</t>
  </si>
  <si>
    <t>Mitsubishi Electric Performance and Design</t>
  </si>
  <si>
    <t>Summer Design T</t>
  </si>
  <si>
    <t>Winter Design T</t>
  </si>
  <si>
    <r>
      <t>Max Heat @ 17</t>
    </r>
    <r>
      <rPr>
        <sz val="11"/>
        <color theme="1"/>
        <rFont val="Calibri"/>
        <family val="2"/>
      </rPr>
      <t>°</t>
    </r>
    <r>
      <rPr>
        <sz val="9.35"/>
        <color theme="1"/>
        <rFont val="Calibri"/>
        <family val="2"/>
      </rPr>
      <t>F</t>
    </r>
  </si>
  <si>
    <t>Max Heat @ 5°F</t>
  </si>
  <si>
    <t>MXZ-3C24NA</t>
  </si>
  <si>
    <t>MXZ-3C30NA</t>
  </si>
  <si>
    <t>MXZ-4C36NA</t>
  </si>
  <si>
    <t>MXZ-5C42NA</t>
  </si>
  <si>
    <t>MXZ-8C48NA</t>
  </si>
  <si>
    <t>SUZ-KD09NA4</t>
  </si>
  <si>
    <t>SUZ-KD12NA4</t>
  </si>
  <si>
    <t>SUZ-KD15NA4</t>
  </si>
  <si>
    <t>SUZ-KD18NA4</t>
  </si>
  <si>
    <t>SUZ-KA09NA</t>
  </si>
  <si>
    <t>SUZ-KA12NA</t>
  </si>
  <si>
    <t>SUZ-KA15NA</t>
  </si>
  <si>
    <t>MSZ-GE09NA2</t>
  </si>
  <si>
    <t>MSZ-GE12NA2</t>
  </si>
  <si>
    <t>MSZ-GE15NA2</t>
  </si>
  <si>
    <t>MSZ-GE18NA-1</t>
  </si>
  <si>
    <t>MSZ-GE24NA</t>
  </si>
  <si>
    <t>no buh</t>
  </si>
  <si>
    <t>Backup Heat?</t>
  </si>
  <si>
    <t>***You may need backup heat, check heat loads and derates***</t>
  </si>
  <si>
    <t xml:space="preserve"> equipment selection, local climate, size and type of windows, home insulation, construction, size of rooms, etc..</t>
  </si>
  <si>
    <t>$&lt;0</t>
  </si>
  <si>
    <t>heat&lt; 0</t>
  </si>
  <si>
    <t>BTU&lt; 0°</t>
  </si>
  <si>
    <t>HKWH 0</t>
  </si>
  <si>
    <t>KWH 0</t>
  </si>
  <si>
    <t>MBTU 0</t>
  </si>
  <si>
    <t>Mixed 0</t>
  </si>
  <si>
    <t>Indianapolis</t>
  </si>
  <si>
    <t>IN</t>
  </si>
  <si>
    <t>Evansville</t>
  </si>
  <si>
    <t>Fort Wayne</t>
  </si>
  <si>
    <t>Elect Backup T "on"</t>
  </si>
  <si>
    <t>kBTU</t>
  </si>
  <si>
    <t>HP BU hrs</t>
  </si>
  <si>
    <t>Multiple-Hyper Heat</t>
  </si>
  <si>
    <t>Muiltiple-Non Hyper Heat</t>
  </si>
  <si>
    <t>Enter Quantity</t>
  </si>
  <si>
    <t>MSZ-GL09NA-U1</t>
  </si>
  <si>
    <t>MSZ-GL12NA-U1</t>
  </si>
  <si>
    <t>MSZ-GL15NA-U1</t>
  </si>
  <si>
    <t>MSZ-GL18NA-U1</t>
  </si>
  <si>
    <t>MSZ-GL24NA-U1</t>
  </si>
  <si>
    <t>MUZ-FH06NA</t>
  </si>
  <si>
    <t>Backup Heat Cost (Included In Htg Cost)</t>
  </si>
  <si>
    <t>Saginaw</t>
  </si>
  <si>
    <t>Traverse City</t>
  </si>
  <si>
    <t>MUZ-FH18NA2</t>
  </si>
  <si>
    <t>Orlando</t>
  </si>
  <si>
    <t>FL</t>
  </si>
  <si>
    <t>Atlanta</t>
  </si>
  <si>
    <t>GA</t>
  </si>
  <si>
    <t>Asheville</t>
  </si>
  <si>
    <t>NC</t>
  </si>
  <si>
    <t>Seattle</t>
  </si>
  <si>
    <t>Bakersfield</t>
  </si>
  <si>
    <t>Fresno</t>
  </si>
  <si>
    <t>Los Angeles</t>
  </si>
  <si>
    <t>Palm Springs</t>
  </si>
  <si>
    <t>Riverside</t>
  </si>
  <si>
    <t>Visalia</t>
  </si>
  <si>
    <t>Portland, OR</t>
  </si>
  <si>
    <t>WA</t>
  </si>
  <si>
    <t>CA</t>
  </si>
  <si>
    <t>OR</t>
  </si>
  <si>
    <t>Spokane</t>
  </si>
  <si>
    <t>Yakima</t>
  </si>
  <si>
    <t>Redding</t>
  </si>
  <si>
    <t>Sacremento</t>
  </si>
  <si>
    <t>San Fransisco</t>
  </si>
  <si>
    <t>Eugene</t>
  </si>
  <si>
    <t>Medford</t>
  </si>
  <si>
    <t>Colorado Springs</t>
  </si>
  <si>
    <t>CO</t>
  </si>
  <si>
    <t>Denver</t>
  </si>
  <si>
    <t>Fort Collins</t>
  </si>
  <si>
    <t>Grand Junction</t>
  </si>
  <si>
    <t>Boise</t>
  </si>
  <si>
    <t>ID</t>
  </si>
  <si>
    <t>Pocatello</t>
  </si>
  <si>
    <t>Billings</t>
  </si>
  <si>
    <t>MT</t>
  </si>
  <si>
    <t>Missoula</t>
  </si>
  <si>
    <t>Dodge City</t>
  </si>
  <si>
    <t>KS</t>
  </si>
  <si>
    <t>Topeka</t>
  </si>
  <si>
    <t>Witchita</t>
  </si>
  <si>
    <t>Springfield, MO</t>
  </si>
  <si>
    <t>Saint Louis</t>
  </si>
  <si>
    <t>NM</t>
  </si>
  <si>
    <t>Santa Fe</t>
  </si>
  <si>
    <t>El Paso</t>
  </si>
  <si>
    <t>TX</t>
  </si>
  <si>
    <t>Fort Worth</t>
  </si>
  <si>
    <t>Houston</t>
  </si>
  <si>
    <t>Lubbock</t>
  </si>
  <si>
    <t>San Antonio</t>
  </si>
  <si>
    <t>Burns</t>
  </si>
  <si>
    <t>Albuquerque</t>
  </si>
  <si>
    <t>Las Cruces</t>
  </si>
  <si>
    <t>Hyper</t>
  </si>
  <si>
    <t>`</t>
  </si>
  <si>
    <t>MXZ-2C20NAHZ</t>
  </si>
  <si>
    <t>MXZ-3C24NAHZ</t>
  </si>
  <si>
    <t>MXZ-3C30NAHZ</t>
  </si>
  <si>
    <t>MXZ-4C36NAHZ</t>
  </si>
  <si>
    <t>MXZ-5C42NAHZ</t>
  </si>
  <si>
    <t>MXZ-8C48NAHZ</t>
  </si>
  <si>
    <t>ME Unit</t>
  </si>
  <si>
    <t>Heat Out</t>
  </si>
  <si>
    <t>% of Total Load</t>
  </si>
  <si>
    <t>% Displaced</t>
  </si>
  <si>
    <t>Multiplier</t>
  </si>
  <si>
    <t>Design T</t>
  </si>
  <si>
    <t>Space T</t>
  </si>
  <si>
    <t>% Fossil Fuel</t>
  </si>
  <si>
    <t>50% Sizing</t>
  </si>
  <si>
    <t>Temp Bin Avg</t>
  </si>
  <si>
    <t>50% Sizing % of Load</t>
  </si>
  <si>
    <t>Existing Fuel %</t>
  </si>
  <si>
    <t>Multiple H2i</t>
  </si>
  <si>
    <t>total</t>
  </si>
  <si>
    <t>Load BTU</t>
  </si>
  <si>
    <t>Accum Load</t>
  </si>
  <si>
    <t>% of Tot</t>
  </si>
  <si>
    <t xml:space="preserve">Accum </t>
  </si>
  <si>
    <t>Balance Point</t>
  </si>
  <si>
    <t>Multiple-Non H2i</t>
  </si>
  <si>
    <t>Load</t>
  </si>
  <si>
    <t>MUFZ-KJ09NAHZ</t>
  </si>
  <si>
    <t>MUFZ-KJ12NAHZ</t>
  </si>
  <si>
    <t>MUFZ-KJ15NAHZ</t>
  </si>
  <si>
    <t>MUFZ-KJ18NAHZ</t>
  </si>
  <si>
    <t>MXZ-3C24NA (non-ducted)</t>
  </si>
  <si>
    <t>MXZ-3C30NA (non-ducted)</t>
  </si>
  <si>
    <t>MXZ-4C36NA (non-ducted)</t>
  </si>
  <si>
    <t>MXZ-5C42NA (non-ducted)</t>
  </si>
  <si>
    <t>MXZ-8C48NA (non-ducted)</t>
  </si>
  <si>
    <t>MXZ-3C24NA (Mixed)</t>
  </si>
  <si>
    <t>MXZ-3C30NA (Mixed)</t>
  </si>
  <si>
    <t>MXZ-4C36NA (Mixed)</t>
  </si>
  <si>
    <t>MXZ-5C42NA (Mixed)</t>
  </si>
  <si>
    <t>MXZ-8C48NA (Mixed)</t>
  </si>
  <si>
    <t>MXZ-3C24NA (Ducted)</t>
  </si>
  <si>
    <t>MXZ-3C30NA (Ducted)</t>
  </si>
  <si>
    <t>MXZ-4C36NA (Ducted)</t>
  </si>
  <si>
    <t>MXZ-5C42NA (Ducted)</t>
  </si>
  <si>
    <t>MXZ-8C48NA (Ducted)</t>
  </si>
  <si>
    <t>MXZ-8C60NA (non-ducted)</t>
  </si>
  <si>
    <t>MXZ-8C60NA (Mixed)</t>
  </si>
  <si>
    <t>MXZ-8C60NA (Ducted)</t>
  </si>
  <si>
    <t>Indoor unit model name</t>
    <phoneticPr fontId="2"/>
  </si>
  <si>
    <t>Outdoor unit model name</t>
    <phoneticPr fontId="2"/>
  </si>
  <si>
    <t>MXZ-4C36NAHZ</t>
    <phoneticPr fontId="2"/>
  </si>
  <si>
    <t>Rated</t>
    <phoneticPr fontId="2"/>
  </si>
  <si>
    <t>Q(Btu/h)</t>
  </si>
  <si>
    <t>W</t>
  </si>
  <si>
    <t>Cooling</t>
    <phoneticPr fontId="2"/>
  </si>
  <si>
    <t>Indoor W.B.</t>
    <phoneticPr fontId="2"/>
  </si>
  <si>
    <t>72F / 22.2C</t>
    <phoneticPr fontId="2"/>
  </si>
  <si>
    <t>67F / 19.4C</t>
    <phoneticPr fontId="2"/>
  </si>
  <si>
    <t>Outdoor D.B.</t>
    <phoneticPr fontId="2"/>
  </si>
  <si>
    <t>Max</t>
    <phoneticPr fontId="2"/>
  </si>
  <si>
    <t>Rated</t>
    <phoneticPr fontId="2"/>
  </si>
  <si>
    <t>Min</t>
    <phoneticPr fontId="2"/>
  </si>
  <si>
    <t>(F)</t>
    <phoneticPr fontId="2"/>
  </si>
  <si>
    <t>(C)</t>
    <phoneticPr fontId="2"/>
  </si>
  <si>
    <t>Q(Btu/h)</t>
    <phoneticPr fontId="2"/>
  </si>
  <si>
    <t>W</t>
    <phoneticPr fontId="2"/>
  </si>
  <si>
    <t>※外気温度5℃以下はエアガイド取付要</t>
    <rPh sb="1" eb="3">
      <t>ガイキ</t>
    </rPh>
    <rPh sb="3" eb="5">
      <t>オンド</t>
    </rPh>
    <rPh sb="6" eb="9">
      <t>ドイカ</t>
    </rPh>
    <rPh sb="15" eb="18">
      <t>トリツケヨウ</t>
    </rPh>
    <phoneticPr fontId="2"/>
  </si>
  <si>
    <t>Heating</t>
    <phoneticPr fontId="2"/>
  </si>
  <si>
    <t>Indoor D.B.</t>
    <phoneticPr fontId="2"/>
  </si>
  <si>
    <t>70F / 21.1C</t>
    <phoneticPr fontId="2"/>
  </si>
  <si>
    <t>Outdoor W.B.</t>
    <phoneticPr fontId="2"/>
  </si>
  <si>
    <t>-</t>
    <phoneticPr fontId="2"/>
  </si>
  <si>
    <t>Rated</t>
  </si>
  <si>
    <t>Min</t>
  </si>
  <si>
    <t>slope</t>
  </si>
  <si>
    <t>intercept</t>
  </si>
  <si>
    <t>COP with PLR</t>
  </si>
  <si>
    <t>COP from tool</t>
  </si>
  <si>
    <t>MUFZ-KJ09NA-U1</t>
  </si>
  <si>
    <t>TC</t>
  </si>
  <si>
    <t>TPC</t>
  </si>
  <si>
    <t>int</t>
  </si>
  <si>
    <t>MXZ-2C20NA (non-ducted)</t>
  </si>
  <si>
    <t>MXZ-2C20NA (Mixed)</t>
  </si>
  <si>
    <t>MXZ-2C20NA (Ducted)</t>
  </si>
  <si>
    <t>PUMY-36NKMU1 (Non-Ducted)</t>
  </si>
  <si>
    <t>PUMY-48NKMU1 (Non-Ducted)</t>
  </si>
  <si>
    <t>PUMY-60NKMU1 (Non-Ducted)</t>
  </si>
  <si>
    <t>PUMY-36NKMU1 (Mixed)</t>
  </si>
  <si>
    <t>PUMY-48NKMU1 (Mixed)</t>
  </si>
  <si>
    <t>PUMY-60NKMU1 (Mixed)</t>
  </si>
  <si>
    <t>PUMY-36NKMU1 (Ducted)</t>
  </si>
  <si>
    <t>PUMY-48NKMU1 (Ducted)</t>
  </si>
  <si>
    <t>PUMY-60NKMU1 (Ducted)</t>
  </si>
  <si>
    <t>PUMY-P36NKMU1</t>
  </si>
  <si>
    <t>PUMY-P48NKMU1</t>
  </si>
  <si>
    <t>PUMY-P60NKMU1</t>
  </si>
  <si>
    <t>MXZ-2C20NA</t>
  </si>
  <si>
    <t>Mitsubishi Electric Cooling and Heating Energy Cost Estimator v10</t>
  </si>
  <si>
    <t>MUFZ-KJ12NA-U1</t>
  </si>
  <si>
    <t>MUFZ-KJ15NA-U1</t>
  </si>
  <si>
    <t>MUFZ-KJ18NA-U1</t>
  </si>
  <si>
    <t>SUZ-KD09NA1</t>
  </si>
  <si>
    <t>MUFZ-KJ09NA</t>
  </si>
  <si>
    <t>MUFZ-KJ12NA</t>
  </si>
  <si>
    <t>MUFZ-KJ15NA</t>
  </si>
  <si>
    <t>MUFZ-KJ18NA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</si>
</sst>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164" formatCode="0.0"/>
    <numFmt numFmtId="165" formatCode="&quot;$&quot;#,##0"/>
    <numFmt numFmtId="166" formatCode="&quot;$&quot;#,##0.00"/>
    <numFmt numFmtId="167" formatCode="#,##0.0"/>
    <numFmt numFmtId="168" formatCode="#,##0.0000"/>
    <numFmt numFmtId="169" formatCode="0.0%"/>
    <numFmt numFmtId="170" formatCode="0.0_ "/>
    <numFmt numFmtId="171" formatCode="0_);[Red]\(0\)"/>
    <numFmt numFmtId="172" formatCode="0.00_);[Red]\(0.00\)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8"/>
      <color theme="1" tint="0.499984740745262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indexed="9"/>
      <name val="Century Gothic"/>
      <family val="2"/>
    </font>
    <font>
      <b/>
      <u/>
      <sz val="12"/>
      <color indexed="9"/>
      <name val="Century Gothic"/>
      <family val="2"/>
    </font>
    <font>
      <sz val="9.35"/>
      <color theme="1"/>
      <name val="Calibri"/>
      <family val="2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Arial"/>
      <family val="2"/>
    </font>
    <font>
      <b/>
      <sz val="11"/>
      <color theme="1"/>
      <name val="Arial"/>
      <family val="2"/>
    </font>
    <font>
      <sz val="12"/>
      <color rgb="FF2F2F2F"/>
      <name val="Segoe UI"/>
      <family val="2"/>
    </font>
    <font>
      <sz val="11"/>
      <color theme="1"/>
      <name val="Calibri"/>
      <family val="3"/>
      <charset val="128"/>
      <scheme val="minor"/>
    </font>
    <font>
      <sz val="11"/>
      <name val="Calibri"/>
      <family val="3"/>
      <charset val="128"/>
      <scheme val="minor"/>
    </font>
    <font>
      <sz val="11"/>
      <color rgb="FFFF0000"/>
      <name val="Calibri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9A3"/>
        <bgColor indexed="64"/>
      </patternFill>
    </fill>
    <fill>
      <patternFill patternType="solid">
        <fgColor theme="0" tint="-0.3499862666707357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auto="1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theme="0"/>
      </bottom>
      <diagonal/>
    </border>
    <border>
      <left style="medium">
        <color indexed="64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auto="1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0">
    <xf numFmtId="0" fontId="0" fillId="0" borderId="0" xfId="0"/>
    <xf numFmtId="2" fontId="0" fillId="0" borderId="0" xfId="0" applyNumberFormat="1"/>
    <xf numFmtId="0" fontId="18" fillId="0" borderId="0" xfId="42"/>
    <xf numFmtId="14" fontId="19" fillId="0" borderId="0" xfId="43" applyNumberFormat="1" applyFont="1" applyFill="1" applyAlignment="1">
      <alignment horizontal="right"/>
    </xf>
    <xf numFmtId="0" fontId="19" fillId="0" borderId="0" xfId="43" applyFont="1" applyFill="1"/>
    <xf numFmtId="164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40" fontId="20" fillId="0" borderId="0" xfId="44" applyNumberFormat="1" applyFont="1" applyAlignment="1"/>
    <xf numFmtId="0" fontId="0" fillId="0" borderId="10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0" fillId="0" borderId="0" xfId="0" applyFont="1"/>
    <xf numFmtId="1" fontId="20" fillId="0" borderId="0" xfId="0" applyNumberFormat="1" applyFont="1"/>
    <xf numFmtId="0" fontId="19" fillId="0" borderId="0" xfId="45" applyFont="1" applyFill="1" applyBorder="1" applyAlignment="1">
      <alignment horizontal="left"/>
    </xf>
    <xf numFmtId="3" fontId="20" fillId="0" borderId="0" xfId="0" applyNumberFormat="1" applyFont="1"/>
    <xf numFmtId="2" fontId="20" fillId="0" borderId="0" xfId="0" applyNumberFormat="1" applyFont="1"/>
    <xf numFmtId="0" fontId="21" fillId="0" borderId="0" xfId="45" applyFont="1" applyFill="1" applyBorder="1" applyAlignment="1">
      <alignment horizontal="left"/>
    </xf>
    <xf numFmtId="1" fontId="0" fillId="0" borderId="0" xfId="0" applyNumberFormat="1"/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2" fontId="0" fillId="0" borderId="13" xfId="0" applyNumberFormat="1" applyBorder="1"/>
    <xf numFmtId="3" fontId="0" fillId="0" borderId="13" xfId="0" applyNumberFormat="1" applyBorder="1"/>
    <xf numFmtId="0" fontId="0" fillId="0" borderId="11" xfId="0" applyBorder="1"/>
    <xf numFmtId="2" fontId="0" fillId="0" borderId="11" xfId="0" applyNumberFormat="1" applyBorder="1"/>
    <xf numFmtId="3" fontId="0" fillId="0" borderId="11" xfId="0" applyNumberFormat="1" applyBorder="1"/>
    <xf numFmtId="0" fontId="0" fillId="0" borderId="13" xfId="0" applyBorder="1" applyAlignment="1">
      <alignment horizontal="right"/>
    </xf>
    <xf numFmtId="0" fontId="0" fillId="0" borderId="13" xfId="0" applyFill="1" applyBorder="1"/>
    <xf numFmtId="0" fontId="0" fillId="0" borderId="11" xfId="0" applyFill="1" applyBorder="1"/>
    <xf numFmtId="0" fontId="0" fillId="0" borderId="0" xfId="0" applyFill="1" applyBorder="1"/>
    <xf numFmtId="3" fontId="0" fillId="0" borderId="0" xfId="0" applyNumberFormat="1" applyFill="1" applyBorder="1"/>
    <xf numFmtId="2" fontId="0" fillId="0" borderId="10" xfId="0" applyNumberFormat="1" applyBorder="1"/>
    <xf numFmtId="0" fontId="0" fillId="0" borderId="10" xfId="0" applyBorder="1" applyAlignment="1">
      <alignment horizontal="right"/>
    </xf>
    <xf numFmtId="4" fontId="0" fillId="0" borderId="0" xfId="0" applyNumberFormat="1"/>
    <xf numFmtId="0" fontId="22" fillId="0" borderId="0" xfId="0" applyFont="1"/>
    <xf numFmtId="1" fontId="0" fillId="0" borderId="13" xfId="0" applyNumberFormat="1" applyBorder="1"/>
    <xf numFmtId="1" fontId="0" fillId="0" borderId="11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19" fillId="0" borderId="0" xfId="0" applyFont="1" applyFill="1" applyBorder="1"/>
    <xf numFmtId="0" fontId="0" fillId="0" borderId="0" xfId="0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9" fontId="0" fillId="0" borderId="10" xfId="0" applyNumberFormat="1" applyFill="1" applyBorder="1" applyAlignment="1">
      <alignment horizontal="center"/>
    </xf>
    <xf numFmtId="9" fontId="0" fillId="0" borderId="10" xfId="46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9" fontId="0" fillId="0" borderId="10" xfId="46" applyFont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0" fontId="19" fillId="0" borderId="10" xfId="0" applyFont="1" applyBorder="1"/>
    <xf numFmtId="0" fontId="20" fillId="0" borderId="10" xfId="0" applyFont="1" applyBorder="1"/>
    <xf numFmtId="4" fontId="20" fillId="0" borderId="10" xfId="0" applyNumberFormat="1" applyFont="1" applyBorder="1"/>
    <xf numFmtId="0" fontId="0" fillId="37" borderId="0" xfId="0" applyFill="1" applyBorder="1"/>
    <xf numFmtId="0" fontId="0" fillId="37" borderId="24" xfId="0" applyFill="1" applyBorder="1"/>
    <xf numFmtId="0" fontId="0" fillId="37" borderId="18" xfId="0" applyFill="1" applyBorder="1"/>
    <xf numFmtId="0" fontId="0" fillId="37" borderId="19" xfId="0" applyFill="1" applyBorder="1"/>
    <xf numFmtId="0" fontId="0" fillId="37" borderId="0" xfId="0" applyFill="1" applyBorder="1" applyAlignment="1">
      <alignment horizontal="center"/>
    </xf>
    <xf numFmtId="0" fontId="0" fillId="37" borderId="23" xfId="0" applyFill="1" applyBorder="1"/>
    <xf numFmtId="0" fontId="0" fillId="37" borderId="17" xfId="0" applyFill="1" applyBorder="1"/>
    <xf numFmtId="0" fontId="0" fillId="37" borderId="26" xfId="0" applyFill="1" applyBorder="1"/>
    <xf numFmtId="165" fontId="0" fillId="37" borderId="26" xfId="0" applyNumberFormat="1" applyFill="1" applyBorder="1"/>
    <xf numFmtId="3" fontId="0" fillId="37" borderId="26" xfId="0" applyNumberFormat="1" applyFill="1" applyBorder="1"/>
    <xf numFmtId="165" fontId="0" fillId="37" borderId="0" xfId="0" applyNumberFormat="1" applyFill="1" applyBorder="1"/>
    <xf numFmtId="0" fontId="0" fillId="37" borderId="18" xfId="0" applyFill="1" applyBorder="1" applyAlignment="1">
      <alignment horizontal="left" indent="2"/>
    </xf>
    <xf numFmtId="3" fontId="0" fillId="37" borderId="18" xfId="0" applyNumberFormat="1" applyFill="1" applyBorder="1"/>
    <xf numFmtId="3" fontId="0" fillId="38" borderId="10" xfId="0" applyNumberFormat="1" applyFill="1" applyBorder="1" applyAlignment="1">
      <alignment horizontal="center"/>
    </xf>
    <xf numFmtId="0" fontId="27" fillId="37" borderId="0" xfId="0" applyFont="1" applyFill="1" applyBorder="1" applyAlignment="1">
      <alignment horizontal="left" indent="2"/>
    </xf>
    <xf numFmtId="165" fontId="27" fillId="37" borderId="0" xfId="0" applyNumberFormat="1" applyFont="1" applyFill="1" applyBorder="1"/>
    <xf numFmtId="0" fontId="27" fillId="37" borderId="0" xfId="0" applyFont="1" applyFill="1" applyBorder="1"/>
    <xf numFmtId="3" fontId="27" fillId="37" borderId="0" xfId="0" applyNumberFormat="1" applyFont="1" applyFill="1" applyBorder="1"/>
    <xf numFmtId="165" fontId="27" fillId="37" borderId="0" xfId="0" applyNumberFormat="1" applyFont="1" applyFill="1" applyBorder="1" applyAlignment="1">
      <alignment horizontal="right"/>
    </xf>
    <xf numFmtId="3" fontId="0" fillId="38" borderId="11" xfId="0" applyNumberFormat="1" applyFill="1" applyBorder="1" applyAlignment="1">
      <alignment horizontal="center"/>
    </xf>
    <xf numFmtId="0" fontId="0" fillId="39" borderId="30" xfId="0" applyFill="1" applyBorder="1"/>
    <xf numFmtId="0" fontId="0" fillId="39" borderId="33" xfId="0" applyFill="1" applyBorder="1"/>
    <xf numFmtId="0" fontId="0" fillId="39" borderId="32" xfId="0" applyFill="1" applyBorder="1"/>
    <xf numFmtId="0" fontId="0" fillId="39" borderId="34" xfId="0" applyFill="1" applyBorder="1"/>
    <xf numFmtId="0" fontId="0" fillId="39" borderId="31" xfId="0" applyFill="1" applyBorder="1"/>
    <xf numFmtId="0" fontId="0" fillId="39" borderId="38" xfId="0" applyFill="1" applyBorder="1"/>
    <xf numFmtId="0" fontId="28" fillId="39" borderId="21" xfId="0" applyFont="1" applyFill="1" applyBorder="1" applyAlignment="1">
      <alignment horizontal="center"/>
    </xf>
    <xf numFmtId="0" fontId="28" fillId="39" borderId="15" xfId="0" applyFont="1" applyFill="1" applyBorder="1" applyAlignment="1">
      <alignment horizontal="center"/>
    </xf>
    <xf numFmtId="0" fontId="25" fillId="39" borderId="38" xfId="0" applyFont="1" applyFill="1" applyBorder="1" applyAlignment="1">
      <alignment horizontal="center"/>
    </xf>
    <xf numFmtId="0" fontId="29" fillId="0" borderId="10" xfId="43" applyFont="1" applyBorder="1" applyAlignment="1" applyProtection="1">
      <alignment horizontal="center"/>
    </xf>
    <xf numFmtId="166" fontId="29" fillId="37" borderId="10" xfId="43" applyNumberFormat="1" applyFont="1" applyFill="1" applyBorder="1" applyAlignment="1" applyProtection="1">
      <alignment horizontal="center"/>
    </xf>
    <xf numFmtId="9" fontId="29" fillId="37" borderId="10" xfId="43" applyNumberFormat="1" applyFont="1" applyFill="1" applyBorder="1" applyAlignment="1" applyProtection="1">
      <alignment horizontal="center"/>
    </xf>
    <xf numFmtId="9" fontId="29" fillId="37" borderId="10" xfId="47" applyNumberFormat="1" applyFont="1" applyFill="1" applyBorder="1" applyAlignment="1" applyProtection="1">
      <alignment horizontal="center"/>
    </xf>
    <xf numFmtId="166" fontId="0" fillId="0" borderId="10" xfId="0" applyNumberFormat="1" applyBorder="1"/>
    <xf numFmtId="0" fontId="24" fillId="40" borderId="39" xfId="43" applyFont="1" applyFill="1" applyBorder="1" applyProtection="1"/>
    <xf numFmtId="0" fontId="24" fillId="40" borderId="40" xfId="43" applyFont="1" applyFill="1" applyBorder="1" applyAlignment="1" applyProtection="1">
      <alignment horizontal="center"/>
    </xf>
    <xf numFmtId="9" fontId="24" fillId="40" borderId="40" xfId="47" applyFont="1" applyFill="1" applyBorder="1" applyAlignment="1" applyProtection="1">
      <alignment horizontal="center"/>
    </xf>
    <xf numFmtId="0" fontId="24" fillId="40" borderId="41" xfId="43" applyFont="1" applyFill="1" applyBorder="1" applyAlignment="1" applyProtection="1">
      <alignment horizontal="center"/>
    </xf>
    <xf numFmtId="0" fontId="23" fillId="40" borderId="42" xfId="43" applyFont="1" applyFill="1" applyBorder="1" applyProtection="1"/>
    <xf numFmtId="166" fontId="29" fillId="0" borderId="25" xfId="43" applyNumberFormat="1" applyFont="1" applyBorder="1" applyAlignment="1" applyProtection="1">
      <alignment horizontal="center"/>
    </xf>
    <xf numFmtId="0" fontId="23" fillId="40" borderId="43" xfId="43" applyFont="1" applyFill="1" applyBorder="1" applyProtection="1"/>
    <xf numFmtId="0" fontId="23" fillId="40" borderId="44" xfId="43" applyFont="1" applyFill="1" applyBorder="1" applyProtection="1"/>
    <xf numFmtId="0" fontId="29" fillId="0" borderId="45" xfId="43" applyFont="1" applyBorder="1" applyAlignment="1" applyProtection="1">
      <alignment horizontal="center"/>
    </xf>
    <xf numFmtId="166" fontId="29" fillId="37" borderId="45" xfId="43" applyNumberFormat="1" applyFont="1" applyFill="1" applyBorder="1" applyAlignment="1" applyProtection="1">
      <alignment horizontal="center"/>
    </xf>
    <xf numFmtId="9" fontId="29" fillId="37" borderId="45" xfId="43" applyNumberFormat="1" applyFont="1" applyFill="1" applyBorder="1" applyAlignment="1" applyProtection="1">
      <alignment horizontal="center"/>
    </xf>
    <xf numFmtId="166" fontId="29" fillId="0" borderId="46" xfId="43" applyNumberFormat="1" applyFont="1" applyBorder="1" applyAlignment="1" applyProtection="1">
      <alignment horizontal="center"/>
    </xf>
    <xf numFmtId="0" fontId="0" fillId="41" borderId="33" xfId="0" applyFill="1" applyBorder="1"/>
    <xf numFmtId="0" fontId="0" fillId="41" borderId="0" xfId="0" applyFill="1" applyBorder="1"/>
    <xf numFmtId="0" fontId="0" fillId="41" borderId="34" xfId="0" applyFill="1" applyBorder="1"/>
    <xf numFmtId="0" fontId="27" fillId="37" borderId="23" xfId="0" applyFont="1" applyFill="1" applyBorder="1" applyAlignment="1">
      <alignment horizontal="left" indent="2"/>
    </xf>
    <xf numFmtId="165" fontId="27" fillId="37" borderId="24" xfId="0" applyNumberFormat="1" applyFont="1" applyFill="1" applyBorder="1"/>
    <xf numFmtId="0" fontId="0" fillId="33" borderId="10" xfId="0" applyFill="1" applyBorder="1" applyAlignment="1" applyProtection="1">
      <alignment horizontal="center"/>
      <protection locked="0"/>
    </xf>
    <xf numFmtId="3" fontId="0" fillId="33" borderId="10" xfId="0" applyNumberFormat="1" applyFill="1" applyBorder="1" applyAlignment="1" applyProtection="1">
      <alignment horizontal="center"/>
      <protection locked="0"/>
    </xf>
    <xf numFmtId="9" fontId="0" fillId="33" borderId="10" xfId="46" applyFont="1" applyFill="1" applyBorder="1" applyAlignment="1" applyProtection="1">
      <alignment horizontal="center"/>
      <protection locked="0"/>
    </xf>
    <xf numFmtId="166" fontId="0" fillId="33" borderId="10" xfId="0" applyNumberFormat="1" applyFill="1" applyBorder="1" applyAlignment="1" applyProtection="1">
      <alignment horizontal="center"/>
      <protection locked="0"/>
    </xf>
    <xf numFmtId="0" fontId="0" fillId="39" borderId="23" xfId="0" applyFill="1" applyBorder="1"/>
    <xf numFmtId="9" fontId="0" fillId="0" borderId="0" xfId="46" applyFont="1"/>
    <xf numFmtId="0" fontId="0" fillId="37" borderId="0" xfId="0" applyFill="1"/>
    <xf numFmtId="0" fontId="25" fillId="39" borderId="23" xfId="0" applyFont="1" applyFill="1" applyBorder="1" applyAlignment="1">
      <alignment horizontal="center"/>
    </xf>
    <xf numFmtId="0" fontId="25" fillId="37" borderId="14" xfId="0" applyFont="1" applyFill="1" applyBorder="1" applyAlignment="1">
      <alignment horizontal="center"/>
    </xf>
    <xf numFmtId="0" fontId="25" fillId="37" borderId="15" xfId="0" applyFont="1" applyFill="1" applyBorder="1" applyAlignment="1">
      <alignment horizontal="center"/>
    </xf>
    <xf numFmtId="0" fontId="25" fillId="37" borderId="1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3" fontId="0" fillId="0" borderId="47" xfId="0" applyNumberFormat="1" applyBorder="1"/>
    <xf numFmtId="3" fontId="0" fillId="0" borderId="0" xfId="0" applyNumberFormat="1" applyBorder="1"/>
    <xf numFmtId="165" fontId="0" fillId="0" borderId="51" xfId="0" applyNumberFormat="1" applyBorder="1"/>
    <xf numFmtId="3" fontId="0" fillId="0" borderId="52" xfId="0" applyNumberFormat="1" applyBorder="1"/>
    <xf numFmtId="3" fontId="0" fillId="0" borderId="26" xfId="0" applyNumberFormat="1" applyBorder="1"/>
    <xf numFmtId="165" fontId="0" fillId="0" borderId="53" xfId="0" applyNumberFormat="1" applyBorder="1"/>
    <xf numFmtId="0" fontId="0" fillId="0" borderId="47" xfId="0" applyBorder="1"/>
    <xf numFmtId="165" fontId="0" fillId="0" borderId="0" xfId="0" applyNumberFormat="1" applyBorder="1"/>
    <xf numFmtId="0" fontId="0" fillId="0" borderId="26" xfId="0" applyBorder="1"/>
    <xf numFmtId="165" fontId="0" fillId="0" borderId="26" xfId="0" applyNumberFormat="1" applyBorder="1"/>
    <xf numFmtId="0" fontId="0" fillId="0" borderId="51" xfId="0" applyBorder="1"/>
    <xf numFmtId="0" fontId="0" fillId="0" borderId="26" xfId="0" applyFill="1" applyBorder="1"/>
    <xf numFmtId="165" fontId="0" fillId="0" borderId="26" xfId="0" applyNumberFormat="1" applyFill="1" applyBorder="1"/>
    <xf numFmtId="0" fontId="27" fillId="0" borderId="0" xfId="0" applyFont="1" applyFill="1" applyBorder="1" applyAlignment="1">
      <alignment horizontal="left" indent="2"/>
    </xf>
    <xf numFmtId="165" fontId="27" fillId="0" borderId="0" xfId="0" applyNumberFormat="1" applyFont="1" applyFill="1" applyBorder="1"/>
    <xf numFmtId="3" fontId="0" fillId="0" borderId="26" xfId="0" applyNumberFormat="1" applyFill="1" applyBorder="1"/>
    <xf numFmtId="0" fontId="27" fillId="0" borderId="0" xfId="0" applyFont="1" applyFill="1" applyBorder="1"/>
    <xf numFmtId="3" fontId="27" fillId="0" borderId="0" xfId="0" applyNumberFormat="1" applyFont="1" applyFill="1" applyBorder="1"/>
    <xf numFmtId="3" fontId="0" fillId="0" borderId="0" xfId="0" applyNumberFormat="1" applyFill="1"/>
    <xf numFmtId="0" fontId="0" fillId="0" borderId="0" xfId="0" applyFill="1"/>
    <xf numFmtId="165" fontId="27" fillId="0" borderId="0" xfId="0" applyNumberFormat="1" applyFont="1" applyFill="1" applyBorder="1" applyAlignment="1">
      <alignment horizontal="right"/>
    </xf>
    <xf numFmtId="0" fontId="0" fillId="0" borderId="48" xfId="0" applyFill="1" applyBorder="1"/>
    <xf numFmtId="0" fontId="30" fillId="0" borderId="0" xfId="0" applyFont="1"/>
    <xf numFmtId="2" fontId="20" fillId="0" borderId="0" xfId="0" applyNumberFormat="1" applyFont="1" applyAlignment="1">
      <alignment horizontal="right"/>
    </xf>
    <xf numFmtId="2" fontId="0" fillId="0" borderId="10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0" fontId="0" fillId="41" borderId="0" xfId="0" applyFill="1" applyBorder="1" applyAlignment="1">
      <alignment horizontal="left"/>
    </xf>
    <xf numFmtId="0" fontId="16" fillId="0" borderId="0" xfId="0" applyFont="1"/>
    <xf numFmtId="0" fontId="0" fillId="0" borderId="0" xfId="0" applyAlignment="1">
      <alignment horizontal="right" indent="1"/>
    </xf>
    <xf numFmtId="0" fontId="0" fillId="37" borderId="0" xfId="0" applyFill="1" applyAlignment="1">
      <alignment horizontal="right" indent="1"/>
    </xf>
    <xf numFmtId="0" fontId="0" fillId="0" borderId="10" xfId="0" applyFill="1" applyBorder="1"/>
    <xf numFmtId="4" fontId="0" fillId="0" borderId="10" xfId="0" applyNumberFormat="1" applyFill="1" applyBorder="1"/>
    <xf numFmtId="166" fontId="0" fillId="0" borderId="0" xfId="0" applyNumberFormat="1"/>
    <xf numFmtId="0" fontId="22" fillId="37" borderId="23" xfId="0" applyFont="1" applyFill="1" applyBorder="1" applyAlignment="1">
      <alignment horizontal="left"/>
    </xf>
    <xf numFmtId="165" fontId="0" fillId="37" borderId="0" xfId="0" applyNumberFormat="1" applyFill="1" applyBorder="1" applyAlignment="1"/>
    <xf numFmtId="0" fontId="22" fillId="37" borderId="17" xfId="0" applyFont="1" applyFill="1" applyBorder="1" applyAlignment="1">
      <alignment horizontal="left"/>
    </xf>
    <xf numFmtId="0" fontId="22" fillId="37" borderId="0" xfId="0" applyFont="1" applyFill="1" applyBorder="1" applyAlignment="1">
      <alignment horizontal="left"/>
    </xf>
    <xf numFmtId="165" fontId="0" fillId="37" borderId="16" xfId="0" applyNumberFormat="1" applyFont="1" applyFill="1" applyBorder="1"/>
    <xf numFmtId="165" fontId="0" fillId="37" borderId="24" xfId="0" applyNumberFormat="1" applyFill="1" applyBorder="1" applyAlignment="1"/>
    <xf numFmtId="164" fontId="0" fillId="37" borderId="18" xfId="0" applyNumberFormat="1" applyFill="1" applyBorder="1"/>
    <xf numFmtId="0" fontId="0" fillId="37" borderId="14" xfId="0" applyFont="1" applyFill="1" applyBorder="1"/>
    <xf numFmtId="0" fontId="22" fillId="37" borderId="18" xfId="0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52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7" borderId="26" xfId="0" applyFont="1" applyFill="1" applyBorder="1"/>
    <xf numFmtId="165" fontId="0" fillId="37" borderId="26" xfId="0" applyNumberFormat="1" applyFont="1" applyFill="1" applyBorder="1"/>
    <xf numFmtId="167" fontId="0" fillId="0" borderId="0" xfId="0" applyNumberFormat="1" applyBorder="1"/>
    <xf numFmtId="0" fontId="0" fillId="35" borderId="54" xfId="0" applyFill="1" applyBorder="1"/>
    <xf numFmtId="0" fontId="0" fillId="35" borderId="55" xfId="0" applyFill="1" applyBorder="1"/>
    <xf numFmtId="0" fontId="0" fillId="35" borderId="56" xfId="0" applyFill="1" applyBorder="1"/>
    <xf numFmtId="0" fontId="0" fillId="37" borderId="0" xfId="0" applyFill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Protection="1"/>
    <xf numFmtId="0" fontId="20" fillId="44" borderId="0" xfId="0" applyFont="1" applyFill="1" applyProtection="1"/>
    <xf numFmtId="0" fontId="0" fillId="44" borderId="0" xfId="0" applyFill="1" applyProtection="1"/>
    <xf numFmtId="40" fontId="20" fillId="44" borderId="0" xfId="44" applyNumberFormat="1" applyFont="1" applyFill="1" applyAlignment="1" applyProtection="1"/>
    <xf numFmtId="1" fontId="20" fillId="44" borderId="0" xfId="0" applyNumberFormat="1" applyFont="1" applyFill="1" applyProtection="1"/>
    <xf numFmtId="40" fontId="20" fillId="44" borderId="57" xfId="44" applyNumberFormat="1" applyFont="1" applyFill="1" applyBorder="1" applyAlignment="1" applyProtection="1"/>
    <xf numFmtId="40" fontId="20" fillId="44" borderId="0" xfId="44" applyNumberFormat="1" applyFont="1" applyFill="1" applyBorder="1" applyAlignment="1" applyProtection="1"/>
    <xf numFmtId="3" fontId="20" fillId="44" borderId="0" xfId="0" applyNumberFormat="1" applyFont="1" applyFill="1" applyProtection="1"/>
    <xf numFmtId="2" fontId="20" fillId="44" borderId="0" xfId="0" applyNumberFormat="1" applyFont="1" applyFill="1" applyProtection="1"/>
    <xf numFmtId="4" fontId="20" fillId="44" borderId="0" xfId="0" applyNumberFormat="1" applyFont="1" applyFill="1" applyProtection="1"/>
    <xf numFmtId="0" fontId="0" fillId="44" borderId="57" xfId="0" applyFill="1" applyBorder="1" applyProtection="1"/>
    <xf numFmtId="0" fontId="0" fillId="44" borderId="0" xfId="0" applyFill="1" applyBorder="1" applyProtection="1"/>
    <xf numFmtId="0" fontId="0" fillId="43" borderId="0" xfId="0" applyFill="1" applyProtection="1"/>
    <xf numFmtId="0" fontId="20" fillId="43" borderId="0" xfId="0" applyFont="1" applyFill="1" applyProtection="1"/>
    <xf numFmtId="0" fontId="20" fillId="43" borderId="57" xfId="0" applyFont="1" applyFill="1" applyBorder="1" applyProtection="1"/>
    <xf numFmtId="0" fontId="20" fillId="43" borderId="0" xfId="0" applyFont="1" applyFill="1" applyBorder="1" applyProtection="1"/>
    <xf numFmtId="0" fontId="35" fillId="43" borderId="57" xfId="0" applyFont="1" applyFill="1" applyBorder="1" applyProtection="1"/>
    <xf numFmtId="0" fontId="35" fillId="43" borderId="0" xfId="0" applyFont="1" applyFill="1" applyProtection="1"/>
    <xf numFmtId="0" fontId="36" fillId="43" borderId="0" xfId="0" applyFont="1" applyFill="1" applyProtection="1"/>
    <xf numFmtId="0" fontId="35" fillId="43" borderId="0" xfId="0" applyFont="1" applyFill="1" applyBorder="1" applyProtection="1"/>
    <xf numFmtId="0" fontId="0" fillId="45" borderId="0" xfId="0" applyFill="1" applyProtection="1"/>
    <xf numFmtId="4" fontId="20" fillId="0" borderId="0" xfId="0" applyNumberFormat="1" applyFont="1"/>
    <xf numFmtId="3" fontId="0" fillId="44" borderId="57" xfId="0" applyNumberFormat="1" applyFill="1" applyBorder="1" applyProtection="1"/>
    <xf numFmtId="3" fontId="0" fillId="44" borderId="0" xfId="0" applyNumberFormat="1" applyFill="1" applyBorder="1" applyProtection="1"/>
    <xf numFmtId="3" fontId="0" fillId="44" borderId="0" xfId="0" applyNumberFormat="1" applyFill="1" applyProtection="1"/>
    <xf numFmtId="0" fontId="0" fillId="44" borderId="0" xfId="0" applyNumberFormat="1" applyFill="1" applyProtection="1"/>
    <xf numFmtId="3" fontId="0" fillId="45" borderId="57" xfId="0" applyNumberFormat="1" applyFill="1" applyBorder="1" applyProtection="1"/>
    <xf numFmtId="3" fontId="0" fillId="45" borderId="0" xfId="0" applyNumberFormat="1" applyFill="1" applyBorder="1" applyProtection="1"/>
    <xf numFmtId="0" fontId="0" fillId="45" borderId="0" xfId="0" applyNumberFormat="1" applyFill="1" applyProtection="1"/>
    <xf numFmtId="3" fontId="0" fillId="45" borderId="0" xfId="0" applyNumberFormat="1" applyFill="1" applyProtection="1"/>
    <xf numFmtId="3" fontId="0" fillId="0" borderId="0" xfId="0" applyNumberFormat="1" applyFill="1" applyBorder="1" applyProtection="1"/>
    <xf numFmtId="0" fontId="0" fillId="0" borderId="0" xfId="0" applyNumberFormat="1" applyFill="1" applyProtection="1"/>
    <xf numFmtId="3" fontId="0" fillId="0" borderId="0" xfId="0" applyNumberFormat="1" applyFill="1" applyProtection="1"/>
    <xf numFmtId="0" fontId="0" fillId="0" borderId="0" xfId="0" applyFill="1" applyProtection="1"/>
    <xf numFmtId="2" fontId="0" fillId="0" borderId="0" xfId="0" applyNumberFormat="1" applyFill="1" applyBorder="1" applyProtection="1"/>
    <xf numFmtId="164" fontId="0" fillId="0" borderId="0" xfId="0" applyNumberFormat="1" applyFill="1" applyBorder="1" applyProtection="1"/>
    <xf numFmtId="0" fontId="0" fillId="0" borderId="0" xfId="0" applyFill="1" applyBorder="1" applyProtection="1"/>
    <xf numFmtId="3" fontId="0" fillId="35" borderId="0" xfId="0" applyNumberFormat="1" applyFill="1" applyBorder="1" applyProtection="1"/>
    <xf numFmtId="2" fontId="0" fillId="35" borderId="0" xfId="0" applyNumberFormat="1" applyFill="1" applyBorder="1" applyProtection="1"/>
    <xf numFmtId="164" fontId="0" fillId="35" borderId="0" xfId="0" applyNumberFormat="1" applyFill="1" applyBorder="1" applyProtection="1"/>
    <xf numFmtId="0" fontId="0" fillId="35" borderId="0" xfId="0" applyFill="1" applyBorder="1" applyProtection="1"/>
    <xf numFmtId="3" fontId="0" fillId="35" borderId="57" xfId="0" applyNumberFormat="1" applyFill="1" applyBorder="1" applyProtection="1"/>
    <xf numFmtId="4" fontId="0" fillId="35" borderId="0" xfId="0" applyNumberFormat="1" applyFill="1" applyBorder="1" applyProtection="1"/>
    <xf numFmtId="168" fontId="0" fillId="35" borderId="0" xfId="0" applyNumberFormat="1" applyFill="1" applyBorder="1" applyProtection="1"/>
    <xf numFmtId="0" fontId="0" fillId="46" borderId="58" xfId="0" applyFill="1" applyBorder="1" applyProtection="1">
      <protection locked="0"/>
    </xf>
    <xf numFmtId="0" fontId="0" fillId="46" borderId="60" xfId="0" applyFill="1" applyBorder="1" applyProtection="1">
      <protection locked="0"/>
    </xf>
    <xf numFmtId="0" fontId="19" fillId="44" borderId="59" xfId="45" applyFont="1" applyFill="1" applyBorder="1" applyAlignment="1" applyProtection="1">
      <alignment horizontal="left"/>
    </xf>
    <xf numFmtId="0" fontId="19" fillId="44" borderId="61" xfId="45" applyFont="1" applyFill="1" applyBorder="1" applyAlignment="1" applyProtection="1">
      <alignment horizontal="left"/>
    </xf>
    <xf numFmtId="0" fontId="16" fillId="44" borderId="62" xfId="0" applyFont="1" applyFill="1" applyBorder="1" applyProtection="1"/>
    <xf numFmtId="40" fontId="37" fillId="44" borderId="63" xfId="44" applyNumberFormat="1" applyFont="1" applyFill="1" applyBorder="1" applyAlignment="1" applyProtection="1"/>
    <xf numFmtId="3" fontId="20" fillId="0" borderId="0" xfId="0" applyNumberFormat="1" applyFont="1" applyFill="1"/>
    <xf numFmtId="2" fontId="20" fillId="0" borderId="0" xfId="0" applyNumberFormat="1" applyFont="1" applyFill="1"/>
    <xf numFmtId="0" fontId="27" fillId="37" borderId="0" xfId="0" applyFont="1" applyFill="1" applyBorder="1" applyAlignment="1">
      <alignment horizontal="left" indent="4"/>
    </xf>
    <xf numFmtId="165" fontId="0" fillId="37" borderId="0" xfId="0" applyNumberFormat="1" applyFill="1" applyBorder="1" applyAlignment="1" applyProtection="1"/>
    <xf numFmtId="3" fontId="20" fillId="0" borderId="0" xfId="0" applyNumberFormat="1" applyFont="1" applyBorder="1"/>
    <xf numFmtId="2" fontId="20" fillId="0" borderId="0" xfId="0" applyNumberFormat="1" applyFont="1" applyBorder="1"/>
    <xf numFmtId="0" fontId="20" fillId="0" borderId="0" xfId="0" applyFont="1" applyBorder="1"/>
    <xf numFmtId="2" fontId="20" fillId="35" borderId="0" xfId="0" applyNumberFormat="1" applyFont="1" applyFill="1" applyBorder="1"/>
    <xf numFmtId="2" fontId="0" fillId="35" borderId="13" xfId="0" applyNumberFormat="1" applyFill="1" applyBorder="1"/>
    <xf numFmtId="2" fontId="0" fillId="35" borderId="12" xfId="0" applyNumberFormat="1" applyFill="1" applyBorder="1"/>
    <xf numFmtId="3" fontId="0" fillId="35" borderId="13" xfId="0" applyNumberFormat="1" applyFill="1" applyBorder="1"/>
    <xf numFmtId="3" fontId="0" fillId="35" borderId="11" xfId="0" applyNumberFormat="1" applyFill="1" applyBorder="1"/>
    <xf numFmtId="165" fontId="27" fillId="35" borderId="0" xfId="0" applyNumberFormat="1" applyFont="1" applyFill="1" applyBorder="1" applyAlignment="1">
      <alignment horizontal="right"/>
    </xf>
    <xf numFmtId="3" fontId="0" fillId="35" borderId="10" xfId="0" applyNumberFormat="1" applyFill="1" applyBorder="1" applyAlignment="1">
      <alignment horizontal="center"/>
    </xf>
    <xf numFmtId="0" fontId="0" fillId="37" borderId="64" xfId="0" applyFill="1" applyBorder="1"/>
    <xf numFmtId="0" fontId="0" fillId="37" borderId="65" xfId="0" applyFill="1" applyBorder="1"/>
    <xf numFmtId="0" fontId="0" fillId="37" borderId="66" xfId="0" applyFill="1" applyBorder="1"/>
    <xf numFmtId="0" fontId="0" fillId="37" borderId="64" xfId="0" applyFill="1" applyBorder="1" applyAlignment="1">
      <alignment horizontal="left"/>
    </xf>
    <xf numFmtId="2" fontId="0" fillId="37" borderId="66" xfId="0" applyNumberFormat="1" applyFill="1" applyBorder="1"/>
    <xf numFmtId="0" fontId="0" fillId="37" borderId="67" xfId="0" applyFill="1" applyBorder="1"/>
    <xf numFmtId="0" fontId="0" fillId="37" borderId="29" xfId="0" applyFill="1" applyBorder="1"/>
    <xf numFmtId="0" fontId="0" fillId="37" borderId="68" xfId="0" applyFill="1" applyBorder="1"/>
    <xf numFmtId="0" fontId="0" fillId="37" borderId="67" xfId="0" applyFill="1" applyBorder="1" applyAlignment="1">
      <alignment horizontal="left"/>
    </xf>
    <xf numFmtId="2" fontId="0" fillId="37" borderId="68" xfId="0" applyNumberFormat="1" applyFill="1" applyBorder="1"/>
    <xf numFmtId="3" fontId="0" fillId="37" borderId="68" xfId="0" applyNumberFormat="1" applyFill="1" applyBorder="1"/>
    <xf numFmtId="164" fontId="0" fillId="37" borderId="68" xfId="0" applyNumberFormat="1" applyFill="1" applyBorder="1"/>
    <xf numFmtId="0" fontId="0" fillId="37" borderId="69" xfId="0" applyFill="1" applyBorder="1"/>
    <xf numFmtId="0" fontId="0" fillId="37" borderId="70" xfId="0" applyFill="1" applyBorder="1"/>
    <xf numFmtId="3" fontId="0" fillId="37" borderId="71" xfId="0" applyNumberFormat="1" applyFill="1" applyBorder="1"/>
    <xf numFmtId="0" fontId="0" fillId="37" borderId="69" xfId="0" applyFill="1" applyBorder="1" applyAlignment="1">
      <alignment horizontal="left"/>
    </xf>
    <xf numFmtId="164" fontId="0" fillId="37" borderId="71" xfId="0" applyNumberFormat="1" applyFill="1" applyBorder="1"/>
    <xf numFmtId="0" fontId="17" fillId="34" borderId="10" xfId="0" applyFont="1" applyFill="1" applyBorder="1"/>
    <xf numFmtId="0" fontId="17" fillId="34" borderId="10" xfId="0" applyFont="1" applyFill="1" applyBorder="1" applyAlignment="1">
      <alignment horizontal="center"/>
    </xf>
    <xf numFmtId="0" fontId="0" fillId="0" borderId="13" xfId="0" applyFill="1" applyBorder="1" applyAlignment="1">
      <alignment horizontal="right"/>
    </xf>
    <xf numFmtId="0" fontId="0" fillId="0" borderId="12" xfId="0" applyFill="1" applyBorder="1"/>
    <xf numFmtId="1" fontId="0" fillId="0" borderId="13" xfId="0" applyNumberFormat="1" applyFill="1" applyBorder="1"/>
    <xf numFmtId="164" fontId="0" fillId="0" borderId="13" xfId="0" applyNumberFormat="1" applyFill="1" applyBorder="1" applyAlignment="1">
      <alignment horizontal="right"/>
    </xf>
    <xf numFmtId="2" fontId="0" fillId="0" borderId="13" xfId="0" applyNumberFormat="1" applyFill="1" applyBorder="1"/>
    <xf numFmtId="3" fontId="0" fillId="0" borderId="13" xfId="0" applyNumberFormat="1" applyFill="1" applyBorder="1"/>
    <xf numFmtId="2" fontId="0" fillId="0" borderId="0" xfId="0" applyNumberFormat="1" applyFill="1"/>
    <xf numFmtId="1" fontId="0" fillId="0" borderId="11" xfId="0" applyNumberFormat="1" applyFill="1" applyBorder="1"/>
    <xf numFmtId="164" fontId="0" fillId="0" borderId="11" xfId="0" applyNumberFormat="1" applyFill="1" applyBorder="1" applyAlignment="1">
      <alignment horizontal="right"/>
    </xf>
    <xf numFmtId="2" fontId="0" fillId="0" borderId="11" xfId="0" applyNumberFormat="1" applyFill="1" applyBorder="1"/>
    <xf numFmtId="3" fontId="0" fillId="0" borderId="11" xfId="0" applyNumberFormat="1" applyFill="1" applyBorder="1"/>
    <xf numFmtId="4" fontId="0" fillId="0" borderId="0" xfId="0" applyNumberFormat="1" applyFill="1" applyBorder="1"/>
    <xf numFmtId="3" fontId="20" fillId="0" borderId="12" xfId="0" applyNumberFormat="1" applyFont="1" applyBorder="1"/>
    <xf numFmtId="9" fontId="0" fillId="0" borderId="12" xfId="46" applyFont="1" applyBorder="1"/>
    <xf numFmtId="164" fontId="0" fillId="0" borderId="12" xfId="0" applyNumberFormat="1" applyBorder="1"/>
    <xf numFmtId="3" fontId="20" fillId="0" borderId="13" xfId="0" applyNumberFormat="1" applyFont="1" applyBorder="1"/>
    <xf numFmtId="9" fontId="0" fillId="0" borderId="13" xfId="46" applyFont="1" applyBorder="1"/>
    <xf numFmtId="164" fontId="0" fillId="0" borderId="13" xfId="0" applyNumberFormat="1" applyBorder="1"/>
    <xf numFmtId="3" fontId="20" fillId="0" borderId="11" xfId="0" applyNumberFormat="1" applyFont="1" applyBorder="1"/>
    <xf numFmtId="9" fontId="0" fillId="0" borderId="11" xfId="46" applyFont="1" applyBorder="1"/>
    <xf numFmtId="164" fontId="0" fillId="0" borderId="11" xfId="0" applyNumberFormat="1" applyBorder="1"/>
    <xf numFmtId="0" fontId="0" fillId="0" borderId="10" xfId="0" applyBorder="1" applyAlignment="1">
      <alignment horizontal="center"/>
    </xf>
    <xf numFmtId="0" fontId="17" fillId="34" borderId="10" xfId="0" applyFont="1" applyFill="1" applyBorder="1" applyAlignment="1">
      <alignment horizontal="center"/>
    </xf>
    <xf numFmtId="10" fontId="0" fillId="0" borderId="0" xfId="0" applyNumberFormat="1"/>
    <xf numFmtId="9" fontId="0" fillId="0" borderId="0" xfId="0" applyNumberFormat="1"/>
    <xf numFmtId="3" fontId="0" fillId="0" borderId="51" xfId="0" applyNumberFormat="1" applyBorder="1"/>
    <xf numFmtId="0" fontId="17" fillId="34" borderId="12" xfId="0" applyFont="1" applyFill="1" applyBorder="1"/>
    <xf numFmtId="3" fontId="0" fillId="0" borderId="12" xfId="0" applyNumberFormat="1" applyBorder="1"/>
    <xf numFmtId="0" fontId="0" fillId="0" borderId="10" xfId="0" applyBorder="1" applyAlignment="1">
      <alignment horizontal="center"/>
    </xf>
    <xf numFmtId="0" fontId="17" fillId="34" borderId="10" xfId="0" applyFont="1" applyFill="1" applyBorder="1" applyAlignment="1">
      <alignment horizontal="center"/>
    </xf>
    <xf numFmtId="169" fontId="0" fillId="0" borderId="11" xfId="46" applyNumberFormat="1" applyFont="1" applyBorder="1"/>
    <xf numFmtId="169" fontId="0" fillId="0" borderId="12" xfId="46" applyNumberFormat="1" applyFont="1" applyBorder="1"/>
    <xf numFmtId="169" fontId="0" fillId="0" borderId="13" xfId="46" applyNumberFormat="1" applyFont="1" applyBorder="1"/>
    <xf numFmtId="0" fontId="0" fillId="0" borderId="27" xfId="0" applyBorder="1" applyAlignment="1"/>
    <xf numFmtId="0" fontId="0" fillId="0" borderId="29" xfId="0" applyBorder="1" applyAlignment="1"/>
    <xf numFmtId="0" fontId="0" fillId="0" borderId="28" xfId="0" applyBorder="1" applyAlignment="1"/>
    <xf numFmtId="2" fontId="0" fillId="35" borderId="11" xfId="0" applyNumberFormat="1" applyFill="1" applyBorder="1"/>
    <xf numFmtId="169" fontId="0" fillId="0" borderId="0" xfId="46" applyNumberFormat="1" applyFont="1"/>
    <xf numFmtId="9" fontId="0" fillId="0" borderId="13" xfId="46" applyFont="1" applyFill="1" applyBorder="1"/>
    <xf numFmtId="9" fontId="0" fillId="0" borderId="11" xfId="46" applyFont="1" applyFill="1" applyBorder="1"/>
    <xf numFmtId="9" fontId="0" fillId="0" borderId="47" xfId="46" applyFont="1" applyBorder="1"/>
    <xf numFmtId="9" fontId="0" fillId="0" borderId="0" xfId="46" applyFont="1" applyBorder="1"/>
    <xf numFmtId="9" fontId="0" fillId="0" borderId="51" xfId="46" applyFont="1" applyBorder="1"/>
    <xf numFmtId="9" fontId="0" fillId="0" borderId="52" xfId="46" applyFont="1" applyBorder="1"/>
    <xf numFmtId="9" fontId="0" fillId="0" borderId="26" xfId="46" applyFont="1" applyBorder="1"/>
    <xf numFmtId="9" fontId="0" fillId="0" borderId="53" xfId="46" applyFont="1" applyBorder="1"/>
    <xf numFmtId="0" fontId="0" fillId="0" borderId="53" xfId="0" applyBorder="1"/>
    <xf numFmtId="0" fontId="21" fillId="0" borderId="27" xfId="45" applyFont="1" applyFill="1" applyBorder="1" applyAlignment="1">
      <alignment horizontal="left"/>
    </xf>
    <xf numFmtId="0" fontId="21" fillId="0" borderId="29" xfId="45" applyFont="1" applyFill="1" applyBorder="1" applyAlignment="1">
      <alignment horizontal="left"/>
    </xf>
    <xf numFmtId="0" fontId="19" fillId="0" borderId="28" xfId="45" applyFont="1" applyFill="1" applyBorder="1" applyAlignment="1">
      <alignment horizontal="left"/>
    </xf>
    <xf numFmtId="0" fontId="19" fillId="0" borderId="29" xfId="45" applyFont="1" applyFill="1" applyBorder="1" applyAlignment="1">
      <alignment horizontal="left"/>
    </xf>
    <xf numFmtId="0" fontId="21" fillId="0" borderId="28" xfId="45" applyFont="1" applyFill="1" applyBorder="1" applyAlignment="1">
      <alignment horizontal="left"/>
    </xf>
    <xf numFmtId="0" fontId="38" fillId="0" borderId="0" xfId="0" applyFont="1"/>
    <xf numFmtId="164" fontId="0" fillId="0" borderId="13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21" fillId="35" borderId="0" xfId="45" applyFont="1" applyFill="1" applyBorder="1" applyAlignment="1">
      <alignment horizontal="left"/>
    </xf>
    <xf numFmtId="3" fontId="20" fillId="35" borderId="0" xfId="0" applyNumberFormat="1" applyFont="1" applyFill="1"/>
    <xf numFmtId="0" fontId="19" fillId="35" borderId="0" xfId="45" applyFont="1" applyFill="1" applyBorder="1" applyAlignment="1">
      <alignment horizontal="left"/>
    </xf>
    <xf numFmtId="0" fontId="21" fillId="47" borderId="0" xfId="45" applyFont="1" applyFill="1" applyBorder="1" applyAlignment="1">
      <alignment horizontal="left"/>
    </xf>
    <xf numFmtId="3" fontId="20" fillId="47" borderId="0" xfId="0" applyNumberFormat="1" applyFont="1" applyFill="1"/>
    <xf numFmtId="0" fontId="19" fillId="47" borderId="0" xfId="45" applyFont="1" applyFill="1" applyBorder="1" applyAlignment="1">
      <alignment horizontal="left"/>
    </xf>
    <xf numFmtId="0" fontId="0" fillId="35" borderId="10" xfId="0" applyFont="1" applyFill="1" applyBorder="1"/>
    <xf numFmtId="0" fontId="0" fillId="35" borderId="0" xfId="0" applyFont="1" applyFill="1"/>
    <xf numFmtId="0" fontId="21" fillId="0" borderId="15" xfId="45" applyFont="1" applyFill="1" applyBorder="1" applyAlignment="1">
      <alignment horizontal="left"/>
    </xf>
    <xf numFmtId="3" fontId="20" fillId="0" borderId="15" xfId="0" applyNumberFormat="1" applyFont="1" applyBorder="1"/>
    <xf numFmtId="2" fontId="20" fillId="0" borderId="15" xfId="0" applyNumberFormat="1" applyFont="1" applyBorder="1"/>
    <xf numFmtId="2" fontId="20" fillId="0" borderId="15" xfId="0" applyNumberFormat="1" applyFont="1" applyBorder="1" applyAlignment="1">
      <alignment horizontal="right"/>
    </xf>
    <xf numFmtId="0" fontId="20" fillId="0" borderId="15" xfId="0" applyFont="1" applyBorder="1"/>
    <xf numFmtId="2" fontId="20" fillId="0" borderId="0" xfId="0" applyNumberFormat="1" applyFont="1" applyBorder="1" applyAlignment="1">
      <alignment horizontal="right"/>
    </xf>
    <xf numFmtId="0" fontId="21" fillId="0" borderId="18" xfId="45" applyFont="1" applyFill="1" applyBorder="1" applyAlignment="1">
      <alignment horizontal="left"/>
    </xf>
    <xf numFmtId="3" fontId="20" fillId="0" borderId="18" xfId="0" applyNumberFormat="1" applyFont="1" applyBorder="1"/>
    <xf numFmtId="2" fontId="20" fillId="0" borderId="18" xfId="0" applyNumberFormat="1" applyFont="1" applyBorder="1"/>
    <xf numFmtId="0" fontId="20" fillId="0" borderId="18" xfId="0" applyFont="1" applyBorder="1"/>
    <xf numFmtId="2" fontId="20" fillId="35" borderId="18" xfId="0" applyNumberFormat="1" applyFont="1" applyFill="1" applyBorder="1"/>
    <xf numFmtId="2" fontId="20" fillId="35" borderId="0" xfId="0" applyNumberFormat="1" applyFont="1" applyFill="1" applyAlignment="1">
      <alignment horizontal="right"/>
    </xf>
    <xf numFmtId="0" fontId="20" fillId="0" borderId="0" xfId="0" applyFont="1" applyFill="1"/>
    <xf numFmtId="0" fontId="20" fillId="0" borderId="0" xfId="0" applyFont="1" applyFill="1" applyBorder="1"/>
    <xf numFmtId="0" fontId="20" fillId="0" borderId="15" xfId="0" applyFont="1" applyFill="1" applyBorder="1"/>
    <xf numFmtId="0" fontId="20" fillId="0" borderId="18" xfId="0" applyFont="1" applyFill="1" applyBorder="1"/>
    <xf numFmtId="0" fontId="39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0" fontId="0" fillId="0" borderId="72" xfId="0" applyFill="1" applyBorder="1" applyAlignment="1">
      <alignment vertical="center"/>
    </xf>
    <xf numFmtId="0" fontId="0" fillId="0" borderId="73" xfId="0" applyFill="1" applyBorder="1" applyAlignment="1">
      <alignment vertical="center"/>
    </xf>
    <xf numFmtId="0" fontId="0" fillId="48" borderId="73" xfId="0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0" fillId="48" borderId="74" xfId="0" applyFill="1" applyBorder="1" applyAlignment="1">
      <alignment vertical="center"/>
    </xf>
    <xf numFmtId="0" fontId="39" fillId="0" borderId="48" xfId="0" applyFont="1" applyFill="1" applyBorder="1" applyAlignment="1">
      <alignment horizontal="center" vertical="center"/>
    </xf>
    <xf numFmtId="0" fontId="39" fillId="0" borderId="49" xfId="0" applyFont="1" applyFill="1" applyBorder="1" applyAlignment="1">
      <alignment vertical="center"/>
    </xf>
    <xf numFmtId="0" fontId="0" fillId="0" borderId="49" xfId="0" applyFill="1" applyBorder="1" applyAlignment="1">
      <alignment vertical="center"/>
    </xf>
    <xf numFmtId="0" fontId="39" fillId="0" borderId="47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39" fillId="0" borderId="52" xfId="0" applyFont="1" applyFill="1" applyBorder="1" applyAlignment="1">
      <alignment horizontal="center" vertical="center"/>
    </xf>
    <xf numFmtId="0" fontId="39" fillId="0" borderId="26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52" xfId="0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40" fillId="0" borderId="47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170" fontId="0" fillId="0" borderId="0" xfId="0" applyNumberFormat="1" applyFill="1" applyBorder="1" applyAlignment="1">
      <alignment horizontal="center" vertical="center"/>
    </xf>
    <xf numFmtId="38" fontId="0" fillId="0" borderId="48" xfId="0" applyNumberFormat="1" applyFill="1" applyBorder="1" applyAlignment="1">
      <alignment horizontal="center" vertical="center"/>
    </xf>
    <xf numFmtId="38" fontId="0" fillId="0" borderId="50" xfId="0" applyNumberFormat="1" applyFill="1" applyBorder="1" applyAlignment="1">
      <alignment horizontal="center" vertical="center"/>
    </xf>
    <xf numFmtId="171" fontId="0" fillId="0" borderId="48" xfId="0" applyNumberFormat="1" applyFill="1" applyBorder="1" applyAlignment="1">
      <alignment horizontal="center" vertical="center"/>
    </xf>
    <xf numFmtId="171" fontId="0" fillId="0" borderId="0" xfId="0" quotePrefix="1" applyNumberFormat="1" applyFill="1" applyBorder="1" applyAlignment="1">
      <alignment vertical="center"/>
    </xf>
    <xf numFmtId="171" fontId="0" fillId="0" borderId="49" xfId="0" applyNumberFormat="1" applyFill="1" applyBorder="1" applyAlignment="1">
      <alignment horizontal="center" vertical="center"/>
    </xf>
    <xf numFmtId="38" fontId="0" fillId="0" borderId="47" xfId="0" applyNumberFormat="1" applyFill="1" applyBorder="1" applyAlignment="1">
      <alignment horizontal="center" vertical="center"/>
    </xf>
    <xf numFmtId="38" fontId="0" fillId="0" borderId="51" xfId="0" applyNumberFormat="1" applyFill="1" applyBorder="1" applyAlignment="1">
      <alignment horizontal="center" vertical="center"/>
    </xf>
    <xf numFmtId="171" fontId="0" fillId="0" borderId="47" xfId="0" applyNumberFormat="1" applyFill="1" applyBorder="1" applyAlignment="1">
      <alignment horizontal="center" vertical="center"/>
    </xf>
    <xf numFmtId="171" fontId="0" fillId="0" borderId="0" xfId="0" applyNumberFormat="1" applyFill="1" applyBorder="1" applyAlignment="1">
      <alignment vertical="center"/>
    </xf>
    <xf numFmtId="171" fontId="0" fillId="0" borderId="0" xfId="0" applyNumberFormat="1" applyFill="1" applyBorder="1" applyAlignment="1">
      <alignment horizontal="center" vertical="center"/>
    </xf>
    <xf numFmtId="170" fontId="39" fillId="0" borderId="0" xfId="0" applyNumberFormat="1" applyFont="1" applyFill="1" applyBorder="1" applyAlignment="1">
      <alignment horizontal="center" vertical="center"/>
    </xf>
    <xf numFmtId="0" fontId="39" fillId="0" borderId="47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/>
    </xf>
    <xf numFmtId="0" fontId="41" fillId="0" borderId="47" xfId="0" applyFont="1" applyFill="1" applyBorder="1" applyAlignment="1">
      <alignment horizontal="center" vertical="center"/>
    </xf>
    <xf numFmtId="170" fontId="41" fillId="0" borderId="0" xfId="0" applyNumberFormat="1" applyFont="1" applyFill="1" applyBorder="1" applyAlignment="1">
      <alignment horizontal="center" vertical="center"/>
    </xf>
    <xf numFmtId="0" fontId="39" fillId="49" borderId="47" xfId="0" applyFont="1" applyFill="1" applyBorder="1" applyAlignment="1">
      <alignment horizontal="center" vertical="center"/>
    </xf>
    <xf numFmtId="170" fontId="39" fillId="49" borderId="0" xfId="0" applyNumberFormat="1" applyFont="1" applyFill="1" applyBorder="1" applyAlignment="1">
      <alignment horizontal="center" vertical="center"/>
    </xf>
    <xf numFmtId="170" fontId="0" fillId="49" borderId="0" xfId="0" applyNumberFormat="1" applyFill="1" applyBorder="1" applyAlignment="1">
      <alignment horizontal="center" vertical="center"/>
    </xf>
    <xf numFmtId="38" fontId="0" fillId="49" borderId="47" xfId="0" applyNumberFormat="1" applyFill="1" applyBorder="1" applyAlignment="1">
      <alignment horizontal="center" vertical="center"/>
    </xf>
    <xf numFmtId="0" fontId="0" fillId="49" borderId="0" xfId="0" applyFill="1" applyBorder="1" applyAlignment="1">
      <alignment vertical="center"/>
    </xf>
    <xf numFmtId="38" fontId="0" fillId="49" borderId="0" xfId="0" applyNumberFormat="1" applyFill="1" applyBorder="1" applyAlignment="1">
      <alignment horizontal="center" vertical="center"/>
    </xf>
    <xf numFmtId="38" fontId="0" fillId="49" borderId="51" xfId="0" applyNumberFormat="1" applyFill="1" applyBorder="1" applyAlignment="1">
      <alignment horizontal="center" vertical="center"/>
    </xf>
    <xf numFmtId="0" fontId="39" fillId="49" borderId="52" xfId="0" applyFont="1" applyFill="1" applyBorder="1" applyAlignment="1">
      <alignment horizontal="center" vertical="center"/>
    </xf>
    <xf numFmtId="170" fontId="39" fillId="49" borderId="26" xfId="0" applyNumberFormat="1" applyFont="1" applyFill="1" applyBorder="1" applyAlignment="1">
      <alignment horizontal="center" vertical="center"/>
    </xf>
    <xf numFmtId="170" fontId="0" fillId="49" borderId="26" xfId="0" applyNumberFormat="1" applyFill="1" applyBorder="1" applyAlignment="1">
      <alignment horizontal="center" vertical="center"/>
    </xf>
    <xf numFmtId="38" fontId="0" fillId="49" borderId="52" xfId="0" applyNumberFormat="1" applyFill="1" applyBorder="1" applyAlignment="1">
      <alignment horizontal="center" vertical="center"/>
    </xf>
    <xf numFmtId="0" fontId="0" fillId="49" borderId="26" xfId="0" applyFill="1" applyBorder="1" applyAlignment="1">
      <alignment vertical="center"/>
    </xf>
    <xf numFmtId="38" fontId="0" fillId="49" borderId="26" xfId="0" applyNumberFormat="1" applyFill="1" applyBorder="1" applyAlignment="1">
      <alignment horizontal="center" vertical="center"/>
    </xf>
    <xf numFmtId="38" fontId="0" fillId="49" borderId="53" xfId="0" applyNumberFormat="1" applyFill="1" applyBorder="1" applyAlignment="1">
      <alignment horizontal="center" vertical="center"/>
    </xf>
    <xf numFmtId="0" fontId="0" fillId="48" borderId="0" xfId="0" applyFill="1" applyAlignment="1">
      <alignment vertical="center"/>
    </xf>
    <xf numFmtId="0" fontId="41" fillId="0" borderId="4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/>
    </xf>
    <xf numFmtId="38" fontId="0" fillId="49" borderId="48" xfId="0" applyNumberFormat="1" applyFill="1" applyBorder="1" applyAlignment="1">
      <alignment horizontal="center" vertical="center"/>
    </xf>
    <xf numFmtId="0" fontId="0" fillId="49" borderId="49" xfId="0" applyFill="1" applyBorder="1" applyAlignment="1">
      <alignment vertical="center"/>
    </xf>
    <xf numFmtId="38" fontId="0" fillId="49" borderId="49" xfId="0" applyNumberFormat="1" applyFill="1" applyBorder="1" applyAlignment="1">
      <alignment horizontal="center" vertical="center"/>
    </xf>
    <xf numFmtId="38" fontId="0" fillId="49" borderId="50" xfId="0" applyNumberFormat="1" applyFill="1" applyBorder="1" applyAlignment="1">
      <alignment horizontal="center" vertical="center"/>
    </xf>
    <xf numFmtId="0" fontId="0" fillId="49" borderId="0" xfId="0" applyFill="1" applyAlignment="1">
      <alignment vertical="center"/>
    </xf>
    <xf numFmtId="172" fontId="0" fillId="49" borderId="0" xfId="0" applyNumberFormat="1" applyFill="1" applyBorder="1" applyAlignment="1">
      <alignment vertical="center"/>
    </xf>
    <xf numFmtId="171" fontId="0" fillId="0" borderId="0" xfId="0" applyNumberFormat="1" applyFill="1" applyAlignment="1">
      <alignment horizontal="center" vertical="center"/>
    </xf>
    <xf numFmtId="170" fontId="39" fillId="0" borderId="26" xfId="0" applyNumberFormat="1" applyFont="1" applyFill="1" applyBorder="1" applyAlignment="1">
      <alignment horizontal="center" vertical="center"/>
    </xf>
    <xf numFmtId="170" fontId="0" fillId="0" borderId="26" xfId="0" applyNumberFormat="1" applyFill="1" applyBorder="1" applyAlignment="1">
      <alignment horizontal="center" vertical="center"/>
    </xf>
    <xf numFmtId="38" fontId="0" fillId="0" borderId="0" xfId="0" applyNumberFormat="1"/>
    <xf numFmtId="1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vertical="center"/>
    </xf>
    <xf numFmtId="38" fontId="0" fillId="0" borderId="0" xfId="0" applyNumberFormat="1" applyFill="1" applyBorder="1" applyAlignment="1">
      <alignment vertical="center"/>
    </xf>
    <xf numFmtId="2" fontId="20" fillId="0" borderId="0" xfId="0" applyNumberFormat="1" applyFont="1" applyFill="1" applyBorder="1"/>
    <xf numFmtId="2" fontId="20" fillId="0" borderId="15" xfId="0" applyNumberFormat="1" applyFont="1" applyFill="1" applyBorder="1"/>
    <xf numFmtId="2" fontId="20" fillId="0" borderId="18" xfId="0" applyNumberFormat="1" applyFont="1" applyFill="1" applyBorder="1"/>
    <xf numFmtId="2" fontId="20" fillId="0" borderId="0" xfId="0" applyNumberFormat="1" applyFont="1" applyFill="1" applyBorder="1" applyAlignment="1">
      <alignment horizontal="right"/>
    </xf>
    <xf numFmtId="0" fontId="0" fillId="46" borderId="75" xfId="0" applyFill="1" applyBorder="1" applyProtection="1">
      <protection locked="0"/>
    </xf>
    <xf numFmtId="0" fontId="32" fillId="42" borderId="35" xfId="0" applyFont="1" applyFill="1" applyBorder="1" applyAlignment="1">
      <alignment horizontal="left" indent="2"/>
    </xf>
    <xf numFmtId="0" fontId="32" fillId="42" borderId="36" xfId="0" applyFont="1" applyFill="1" applyBorder="1" applyAlignment="1">
      <alignment horizontal="left" indent="2"/>
    </xf>
    <xf numFmtId="0" fontId="32" fillId="42" borderId="37" xfId="0" applyFont="1" applyFill="1" applyBorder="1" applyAlignment="1">
      <alignment horizontal="left" indent="2"/>
    </xf>
    <xf numFmtId="0" fontId="32" fillId="42" borderId="33" xfId="0" applyFont="1" applyFill="1" applyBorder="1"/>
    <xf numFmtId="0" fontId="32" fillId="42" borderId="0" xfId="0" applyFont="1" applyFill="1" applyBorder="1"/>
    <xf numFmtId="0" fontId="32" fillId="42" borderId="34" xfId="0" applyFont="1" applyFill="1" applyBorder="1"/>
    <xf numFmtId="0" fontId="31" fillId="34" borderId="20" xfId="0" applyFont="1" applyFill="1" applyBorder="1" applyAlignment="1">
      <alignment horizontal="center"/>
    </xf>
    <xf numFmtId="0" fontId="31" fillId="34" borderId="21" xfId="0" applyFont="1" applyFill="1" applyBorder="1" applyAlignment="1">
      <alignment horizontal="center"/>
    </xf>
    <xf numFmtId="0" fontId="31" fillId="34" borderId="22" xfId="0" applyFont="1" applyFill="1" applyBorder="1" applyAlignment="1">
      <alignment horizontal="center"/>
    </xf>
    <xf numFmtId="0" fontId="32" fillId="42" borderId="30" xfId="0" applyFont="1" applyFill="1" applyBorder="1"/>
    <xf numFmtId="0" fontId="32" fillId="42" borderId="31" xfId="0" applyFont="1" applyFill="1" applyBorder="1"/>
    <xf numFmtId="0" fontId="32" fillId="42" borderId="32" xfId="0" applyFont="1" applyFill="1" applyBorder="1"/>
    <xf numFmtId="0" fontId="32" fillId="42" borderId="33" xfId="0" applyFont="1" applyFill="1" applyBorder="1" applyAlignment="1">
      <alignment wrapText="1"/>
    </xf>
    <xf numFmtId="0" fontId="16" fillId="35" borderId="20" xfId="0" applyFont="1" applyFill="1" applyBorder="1" applyAlignment="1">
      <alignment horizontal="center"/>
    </xf>
    <xf numFmtId="0" fontId="16" fillId="35" borderId="21" xfId="0" applyFont="1" applyFill="1" applyBorder="1" applyAlignment="1">
      <alignment horizontal="center"/>
    </xf>
    <xf numFmtId="0" fontId="16" fillId="35" borderId="22" xfId="0" applyFont="1" applyFill="1" applyBorder="1" applyAlignment="1">
      <alignment horizontal="center"/>
    </xf>
    <xf numFmtId="0" fontId="24" fillId="34" borderId="20" xfId="0" applyFont="1" applyFill="1" applyBorder="1" applyAlignment="1">
      <alignment horizontal="center"/>
    </xf>
    <xf numFmtId="0" fontId="24" fillId="34" borderId="21" xfId="0" applyFont="1" applyFill="1" applyBorder="1" applyAlignment="1">
      <alignment horizontal="center"/>
    </xf>
    <xf numFmtId="0" fontId="24" fillId="34" borderId="22" xfId="0" applyFont="1" applyFill="1" applyBorder="1" applyAlignment="1">
      <alignment horizontal="center"/>
    </xf>
    <xf numFmtId="0" fontId="25" fillId="36" borderId="14" xfId="0" applyFont="1" applyFill="1" applyBorder="1" applyAlignment="1">
      <alignment horizontal="center"/>
    </xf>
    <xf numFmtId="0" fontId="25" fillId="36" borderId="15" xfId="0" applyFont="1" applyFill="1" applyBorder="1" applyAlignment="1">
      <alignment horizontal="center"/>
    </xf>
    <xf numFmtId="0" fontId="26" fillId="37" borderId="14" xfId="0" applyFont="1" applyFill="1" applyBorder="1" applyAlignment="1">
      <alignment horizontal="center"/>
    </xf>
    <xf numFmtId="0" fontId="26" fillId="37" borderId="15" xfId="0" applyFont="1" applyFill="1" applyBorder="1" applyAlignment="1">
      <alignment horizontal="center"/>
    </xf>
    <xf numFmtId="0" fontId="26" fillId="37" borderId="16" xfId="0" applyFont="1" applyFill="1" applyBorder="1" applyAlignment="1">
      <alignment horizontal="center"/>
    </xf>
    <xf numFmtId="0" fontId="26" fillId="37" borderId="23" xfId="0" applyFont="1" applyFill="1" applyBorder="1" applyAlignment="1">
      <alignment horizontal="center"/>
    </xf>
    <xf numFmtId="0" fontId="26" fillId="37" borderId="0" xfId="0" applyFont="1" applyFill="1" applyBorder="1" applyAlignment="1">
      <alignment horizontal="center"/>
    </xf>
    <xf numFmtId="0" fontId="26" fillId="37" borderId="24" xfId="0" applyFont="1" applyFill="1" applyBorder="1" applyAlignment="1">
      <alignment horizontal="center"/>
    </xf>
    <xf numFmtId="0" fontId="25" fillId="36" borderId="20" xfId="0" applyFont="1" applyFill="1" applyBorder="1" applyAlignment="1">
      <alignment horizontal="center"/>
    </xf>
    <xf numFmtId="0" fontId="25" fillId="36" borderId="21" xfId="0" applyFont="1" applyFill="1" applyBorder="1" applyAlignment="1">
      <alignment horizontal="center"/>
    </xf>
    <xf numFmtId="0" fontId="25" fillId="36" borderId="22" xfId="0" applyFont="1" applyFill="1" applyBorder="1" applyAlignment="1">
      <alignment horizontal="center"/>
    </xf>
    <xf numFmtId="0" fontId="0" fillId="33" borderId="27" xfId="0" applyFill="1" applyBorder="1" applyAlignment="1" applyProtection="1">
      <alignment horizontal="left"/>
      <protection locked="0"/>
    </xf>
    <xf numFmtId="0" fontId="0" fillId="33" borderId="29" xfId="0" applyFill="1" applyBorder="1" applyAlignment="1" applyProtection="1">
      <alignment horizontal="left"/>
      <protection locked="0"/>
    </xf>
    <xf numFmtId="0" fontId="0" fillId="33" borderId="28" xfId="0" applyFill="1" applyBorder="1" applyAlignment="1" applyProtection="1">
      <alignment horizontal="left"/>
      <protection locked="0"/>
    </xf>
    <xf numFmtId="0" fontId="0" fillId="37" borderId="0" xfId="0" applyFill="1" applyBorder="1" applyAlignment="1">
      <alignment horizontal="right"/>
    </xf>
    <xf numFmtId="0" fontId="0" fillId="37" borderId="51" xfId="0" applyFill="1" applyBorder="1" applyAlignment="1">
      <alignment horizontal="right"/>
    </xf>
    <xf numFmtId="0" fontId="0" fillId="0" borderId="0" xfId="0" applyAlignment="1">
      <alignment horizontal="center"/>
    </xf>
    <xf numFmtId="1" fontId="0" fillId="0" borderId="49" xfId="0" applyNumberFormat="1" applyBorder="1" applyAlignment="1">
      <alignment horizontal="center"/>
    </xf>
    <xf numFmtId="1" fontId="0" fillId="0" borderId="50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0" xfId="0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44" borderId="57" xfId="0" applyFont="1" applyFill="1" applyBorder="1" applyAlignment="1" applyProtection="1">
      <alignment horizontal="center"/>
    </xf>
    <xf numFmtId="0" fontId="20" fillId="44" borderId="0" xfId="0" applyFont="1" applyFill="1" applyBorder="1" applyAlignment="1" applyProtection="1">
      <alignment horizontal="center"/>
    </xf>
    <xf numFmtId="0" fontId="20" fillId="44" borderId="0" xfId="0" applyFont="1" applyFill="1" applyAlignment="1" applyProtection="1">
      <alignment horizontal="center"/>
    </xf>
    <xf numFmtId="0" fontId="17" fillId="34" borderId="10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8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0" fillId="35" borderId="49" xfId="0" applyFont="1" applyFill="1" applyBorder="1" applyAlignment="1">
      <alignment horizontal="center" vertical="center" wrapText="1"/>
    </xf>
    <xf numFmtId="0" fontId="39" fillId="35" borderId="49" xfId="0" applyFont="1" applyFill="1" applyBorder="1" applyAlignment="1">
      <alignment horizontal="center" vertical="center" wrapText="1"/>
    </xf>
    <xf numFmtId="0" fontId="0" fillId="35" borderId="49" xfId="0" applyFill="1" applyBorder="1" applyAlignment="1">
      <alignment horizontal="center" vertical="center" wrapText="1"/>
    </xf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3" xfId="42"/>
    <cellStyle name="Note" xfId="15" builtinId="10" customBuiltin="1"/>
    <cellStyle name="Output" xfId="10" builtinId="21" customBuiltin="1"/>
    <cellStyle name="Percent" xfId="46" builtinId="5"/>
    <cellStyle name="Percent 2" xfId="47"/>
    <cellStyle name="Title" xfId="1" builtinId="15" customBuiltin="1"/>
    <cellStyle name="Total" xfId="17" builtinId="25" customBuiltin="1"/>
    <cellStyle name="Warning Text" xfId="14" builtinId="11" customBuiltin="1"/>
    <cellStyle name="桁区切り 2" xfId="44"/>
    <cellStyle name="標準 2" xfId="45"/>
  </cellStyles>
  <dxfs count="26"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right style="thin">
          <color auto="1"/>
        </right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right style="thin">
          <color auto="1"/>
        </right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 tint="-0.499984740745262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 tint="-0.499984740745262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 tint="-0.499984740745262"/>
      </font>
      <fill>
        <patternFill>
          <bgColor theme="0"/>
        </patternFill>
      </fill>
      <border>
        <left/>
        <right/>
        <top/>
        <bottom/>
      </border>
    </dxf>
    <dxf>
      <font>
        <color theme="0" tint="-0.499984740745262"/>
      </font>
      <fill>
        <patternFill>
          <bgColor theme="0"/>
        </patternFill>
      </fill>
      <border>
        <left/>
        <right/>
        <top/>
        <bottom/>
      </border>
    </dxf>
    <dxf>
      <font>
        <color theme="0" tint="-0.499984740745262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 tint="-0.499984740745262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 tint="-0.499984740745262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 tint="-0.499984740745262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 tint="-0.499984740745262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 tint="-0.499984740745262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FFAFA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Bills!$A$7:$A$18</c:f>
              <c:numCache>
                <c:formatCode>m/d/yyyy</c:formatCode>
                <c:ptCount val="12"/>
                <c:pt idx="0">
                  <c:v>41816</c:v>
                </c:pt>
                <c:pt idx="1">
                  <c:v>41788</c:v>
                </c:pt>
                <c:pt idx="2">
                  <c:v>41760</c:v>
                </c:pt>
                <c:pt idx="3">
                  <c:v>41726</c:v>
                </c:pt>
                <c:pt idx="4">
                  <c:v>41696</c:v>
                </c:pt>
                <c:pt idx="5">
                  <c:v>41667</c:v>
                </c:pt>
                <c:pt idx="6">
                  <c:v>41639</c:v>
                </c:pt>
                <c:pt idx="7">
                  <c:v>41605</c:v>
                </c:pt>
                <c:pt idx="8">
                  <c:v>41577</c:v>
                </c:pt>
                <c:pt idx="9">
                  <c:v>41547</c:v>
                </c:pt>
                <c:pt idx="10">
                  <c:v>41515</c:v>
                </c:pt>
                <c:pt idx="11">
                  <c:v>41484</c:v>
                </c:pt>
              </c:numCache>
            </c:numRef>
          </c:xVal>
          <c:yVal>
            <c:numRef>
              <c:f>Bills!$B$7:$B$18</c:f>
              <c:numCache>
                <c:formatCode>General</c:formatCode>
                <c:ptCount val="12"/>
                <c:pt idx="0">
                  <c:v>482</c:v>
                </c:pt>
                <c:pt idx="1">
                  <c:v>233</c:v>
                </c:pt>
                <c:pt idx="2">
                  <c:v>1180</c:v>
                </c:pt>
                <c:pt idx="3">
                  <c:v>2070</c:v>
                </c:pt>
                <c:pt idx="4">
                  <c:v>2080</c:v>
                </c:pt>
                <c:pt idx="5">
                  <c:v>1870</c:v>
                </c:pt>
                <c:pt idx="6">
                  <c:v>2140</c:v>
                </c:pt>
                <c:pt idx="7">
                  <c:v>1010</c:v>
                </c:pt>
                <c:pt idx="8">
                  <c:v>430</c:v>
                </c:pt>
                <c:pt idx="9">
                  <c:v>310</c:v>
                </c:pt>
                <c:pt idx="10">
                  <c:v>310</c:v>
                </c:pt>
                <c:pt idx="11">
                  <c:v>670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00480"/>
        <c:axId val="59901056"/>
      </c:scatterChart>
      <c:valAx>
        <c:axId val="599004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59901056"/>
        <c:crosses val="autoZero"/>
        <c:crossBetween val="midCat"/>
      </c:valAx>
      <c:valAx>
        <c:axId val="59901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9004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96850393700793E-2"/>
          <c:y val="7.4548702245552642E-2"/>
          <c:w val="0.5883101487314043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numFmt formatCode="General" sourceLinked="0"/>
            </c:trendlineLbl>
          </c:trendline>
          <c:xVal>
            <c:numRef>
              <c:f>data!$Y$27:$Y$28</c:f>
              <c:numCache>
                <c:formatCode>General</c:formatCode>
                <c:ptCount val="2"/>
                <c:pt idx="0">
                  <c:v>14</c:v>
                </c:pt>
                <c:pt idx="1">
                  <c:v>23</c:v>
                </c:pt>
              </c:numCache>
            </c:numRef>
          </c:xVal>
          <c:yVal>
            <c:numRef>
              <c:f>data!$Z$27:$Z$28</c:f>
              <c:numCache>
                <c:formatCode>General</c:formatCode>
                <c:ptCount val="2"/>
                <c:pt idx="0">
                  <c:v>0.59</c:v>
                </c:pt>
                <c:pt idx="1">
                  <c:v>0.63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02784"/>
        <c:axId val="59903360"/>
      </c:scatterChart>
      <c:valAx>
        <c:axId val="599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903360"/>
        <c:crosses val="autoZero"/>
        <c:crossBetween val="midCat"/>
      </c:valAx>
      <c:valAx>
        <c:axId val="59903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9027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Heat Pump</c:v>
          </c:tx>
          <c:invertIfNegative val="0"/>
          <c:cat>
            <c:numRef>
              <c:f>'Multiplier (2)'!$AD$5:$AD$20</c:f>
              <c:numCache>
                <c:formatCode>0%</c:formatCode>
                <c:ptCount val="16"/>
                <c:pt idx="0">
                  <c:v>0.25</c:v>
                </c:pt>
                <c:pt idx="1">
                  <c:v>0.3</c:v>
                </c:pt>
                <c:pt idx="2">
                  <c:v>0.35</c:v>
                </c:pt>
                <c:pt idx="3">
                  <c:v>0.39999999999999997</c:v>
                </c:pt>
                <c:pt idx="4">
                  <c:v>0.44999999999999996</c:v>
                </c:pt>
                <c:pt idx="5">
                  <c:v>0.49999999999999994</c:v>
                </c:pt>
                <c:pt idx="6">
                  <c:v>0.54999999999999993</c:v>
                </c:pt>
                <c:pt idx="7">
                  <c:v>0.6</c:v>
                </c:pt>
                <c:pt idx="8">
                  <c:v>0.65</c:v>
                </c:pt>
                <c:pt idx="9">
                  <c:v>0.70000000000000007</c:v>
                </c:pt>
                <c:pt idx="10">
                  <c:v>0.75000000000000011</c:v>
                </c:pt>
                <c:pt idx="11">
                  <c:v>0.80000000000000016</c:v>
                </c:pt>
                <c:pt idx="12">
                  <c:v>0.8500000000000002</c:v>
                </c:pt>
                <c:pt idx="13">
                  <c:v>0.90000000000000024</c:v>
                </c:pt>
                <c:pt idx="14">
                  <c:v>0.95000000000000029</c:v>
                </c:pt>
                <c:pt idx="15">
                  <c:v>1.0000000000000002</c:v>
                </c:pt>
              </c:numCache>
            </c:numRef>
          </c:cat>
          <c:val>
            <c:numRef>
              <c:f>'Multiplier (2)'!$AE$5:$AE$20</c:f>
              <c:numCache>
                <c:formatCode>0%</c:formatCode>
                <c:ptCount val="16"/>
                <c:pt idx="0">
                  <c:v>0.53168209718933268</c:v>
                </c:pt>
                <c:pt idx="1">
                  <c:v>0.62257436908506003</c:v>
                </c:pt>
                <c:pt idx="2">
                  <c:v>0.70576774867879455</c:v>
                </c:pt>
                <c:pt idx="3">
                  <c:v>0.77263464643722957</c:v>
                </c:pt>
                <c:pt idx="4">
                  <c:v>0.82924896687550631</c:v>
                </c:pt>
                <c:pt idx="5">
                  <c:v>0.87840461920923851</c:v>
                </c:pt>
                <c:pt idx="6">
                  <c:v>0.92027882272660333</c:v>
                </c:pt>
                <c:pt idx="7">
                  <c:v>0.95120522062174817</c:v>
                </c:pt>
                <c:pt idx="8">
                  <c:v>0.97298656216157975</c:v>
                </c:pt>
                <c:pt idx="9">
                  <c:v>0.9855852203362675</c:v>
                </c:pt>
                <c:pt idx="10">
                  <c:v>0.99011042014227346</c:v>
                </c:pt>
                <c:pt idx="11">
                  <c:v>0.99286024030607944</c:v>
                </c:pt>
                <c:pt idx="12">
                  <c:v>0.99464518022955961</c:v>
                </c:pt>
                <c:pt idx="13">
                  <c:v>0.99643012015303989</c:v>
                </c:pt>
                <c:pt idx="14">
                  <c:v>0.99821506007652006</c:v>
                </c:pt>
                <c:pt idx="15">
                  <c:v>1</c:v>
                </c:pt>
              </c:numCache>
            </c:numRef>
          </c:val>
        </c:ser>
        <c:ser>
          <c:idx val="1"/>
          <c:order val="1"/>
          <c:tx>
            <c:v>Existing Fuel</c:v>
          </c:tx>
          <c:invertIfNegative val="0"/>
          <c:val>
            <c:numRef>
              <c:f>'Multiplier (2)'!$AF$5:$AF$20</c:f>
              <c:numCache>
                <c:formatCode>0%</c:formatCode>
                <c:ptCount val="16"/>
                <c:pt idx="0">
                  <c:v>0.46831790281066732</c:v>
                </c:pt>
                <c:pt idx="1">
                  <c:v>0.37742563091493997</c:v>
                </c:pt>
                <c:pt idx="2">
                  <c:v>0.29423225132120545</c:v>
                </c:pt>
                <c:pt idx="3">
                  <c:v>0.22736535356277043</c:v>
                </c:pt>
                <c:pt idx="4">
                  <c:v>0.17075103312449369</c:v>
                </c:pt>
                <c:pt idx="5">
                  <c:v>0.12159538079076149</c:v>
                </c:pt>
                <c:pt idx="6">
                  <c:v>7.9721177273396671E-2</c:v>
                </c:pt>
                <c:pt idx="7">
                  <c:v>4.8794779378251829E-2</c:v>
                </c:pt>
                <c:pt idx="8">
                  <c:v>2.7013437838420251E-2</c:v>
                </c:pt>
                <c:pt idx="9">
                  <c:v>1.4414779663732502E-2</c:v>
                </c:pt>
                <c:pt idx="10">
                  <c:v>9.8895798577265381E-3</c:v>
                </c:pt>
                <c:pt idx="11">
                  <c:v>7.1397596939205554E-3</c:v>
                </c:pt>
                <c:pt idx="12">
                  <c:v>5.3548197704403888E-3</c:v>
                </c:pt>
                <c:pt idx="13">
                  <c:v>3.5698798469601112E-3</c:v>
                </c:pt>
                <c:pt idx="14">
                  <c:v>1.7849399234799446E-3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488576"/>
        <c:axId val="59906240"/>
      </c:barChart>
      <c:catAx>
        <c:axId val="70488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of Total Load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59906240"/>
        <c:crosses val="autoZero"/>
        <c:auto val="1"/>
        <c:lblAlgn val="ctr"/>
        <c:lblOffset val="100"/>
        <c:noMultiLvlLbl val="0"/>
      </c:catAx>
      <c:valAx>
        <c:axId val="59906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Displacement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70488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Displacement by Temperature Bin for 50% Sizing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9766382925604474E-2"/>
          <c:y val="9.8333359960435046E-2"/>
          <c:w val="0.78257550996682956"/>
          <c:h val="0.79853021909774158"/>
        </c:manualLayout>
      </c:layout>
      <c:barChart>
        <c:barDir val="col"/>
        <c:grouping val="stacked"/>
        <c:varyColors val="0"/>
        <c:ser>
          <c:idx val="0"/>
          <c:order val="0"/>
          <c:tx>
            <c:v>Heat Pump</c:v>
          </c:tx>
          <c:invertIfNegative val="0"/>
          <c:cat>
            <c:numRef>
              <c:f>'Multiplier (2)'!$AC$40:$AC$52</c:f>
              <c:numCache>
                <c:formatCode>General</c:formatCode>
                <c:ptCount val="13"/>
                <c:pt idx="0">
                  <c:v>-2.5</c:v>
                </c:pt>
                <c:pt idx="1">
                  <c:v>2.5</c:v>
                </c:pt>
                <c:pt idx="2">
                  <c:v>7.5</c:v>
                </c:pt>
                <c:pt idx="3">
                  <c:v>12.5</c:v>
                </c:pt>
                <c:pt idx="4">
                  <c:v>17.5</c:v>
                </c:pt>
                <c:pt idx="5">
                  <c:v>22.5</c:v>
                </c:pt>
                <c:pt idx="6">
                  <c:v>27.5</c:v>
                </c:pt>
                <c:pt idx="7">
                  <c:v>32.5</c:v>
                </c:pt>
                <c:pt idx="8">
                  <c:v>37.5</c:v>
                </c:pt>
                <c:pt idx="9">
                  <c:v>42.5</c:v>
                </c:pt>
                <c:pt idx="10">
                  <c:v>47.5</c:v>
                </c:pt>
                <c:pt idx="11">
                  <c:v>52.5</c:v>
                </c:pt>
                <c:pt idx="12">
                  <c:v>57.5</c:v>
                </c:pt>
              </c:numCache>
            </c:numRef>
          </c:cat>
          <c:val>
            <c:numRef>
              <c:f>'Multiplier (2)'!$AD$40:$AD$52</c:f>
              <c:numCache>
                <c:formatCode>#,##0</c:formatCode>
                <c:ptCount val="13"/>
                <c:pt idx="0">
                  <c:v>17999.999999999996</c:v>
                </c:pt>
                <c:pt idx="1">
                  <c:v>17999.999999999996</c:v>
                </c:pt>
                <c:pt idx="2">
                  <c:v>23449.541284403665</c:v>
                </c:pt>
                <c:pt idx="3">
                  <c:v>19074.626865671642</c:v>
                </c:pt>
                <c:pt idx="4">
                  <c:v>19074.626865671635</c:v>
                </c:pt>
                <c:pt idx="5">
                  <c:v>19074.626865671638</c:v>
                </c:pt>
                <c:pt idx="6">
                  <c:v>18537.313432835821</c:v>
                </c:pt>
                <c:pt idx="7">
                  <c:v>15850.746268656716</c:v>
                </c:pt>
                <c:pt idx="8">
                  <c:v>13164.179104477613</c:v>
                </c:pt>
                <c:pt idx="9">
                  <c:v>10477.611940298508</c:v>
                </c:pt>
                <c:pt idx="10">
                  <c:v>7791.0447761194027</c:v>
                </c:pt>
                <c:pt idx="11">
                  <c:v>5104.4776119402986</c:v>
                </c:pt>
                <c:pt idx="12">
                  <c:v>2417.9104477611941</c:v>
                </c:pt>
              </c:numCache>
            </c:numRef>
          </c:val>
        </c:ser>
        <c:ser>
          <c:idx val="1"/>
          <c:order val="1"/>
          <c:tx>
            <c:v>Existing Fuel</c:v>
          </c:tx>
          <c:invertIfNegative val="0"/>
          <c:cat>
            <c:numRef>
              <c:f>'Multiplier (2)'!$AC$40:$AC$52</c:f>
              <c:numCache>
                <c:formatCode>General</c:formatCode>
                <c:ptCount val="13"/>
                <c:pt idx="0">
                  <c:v>-2.5</c:v>
                </c:pt>
                <c:pt idx="1">
                  <c:v>2.5</c:v>
                </c:pt>
                <c:pt idx="2">
                  <c:v>7.5</c:v>
                </c:pt>
                <c:pt idx="3">
                  <c:v>12.5</c:v>
                </c:pt>
                <c:pt idx="4">
                  <c:v>17.5</c:v>
                </c:pt>
                <c:pt idx="5">
                  <c:v>22.5</c:v>
                </c:pt>
                <c:pt idx="6">
                  <c:v>27.5</c:v>
                </c:pt>
                <c:pt idx="7">
                  <c:v>32.5</c:v>
                </c:pt>
                <c:pt idx="8">
                  <c:v>37.5</c:v>
                </c:pt>
                <c:pt idx="9">
                  <c:v>42.5</c:v>
                </c:pt>
                <c:pt idx="10">
                  <c:v>47.5</c:v>
                </c:pt>
                <c:pt idx="11">
                  <c:v>52.5</c:v>
                </c:pt>
                <c:pt idx="12">
                  <c:v>57.5</c:v>
                </c:pt>
              </c:numCache>
            </c:numRef>
          </c:cat>
          <c:val>
            <c:numRef>
              <c:f>'Multiplier (2)'!$AF$40:$AF$52</c:f>
              <c:numCache>
                <c:formatCode>#,##0</c:formatCode>
                <c:ptCount val="13"/>
                <c:pt idx="0">
                  <c:v>18000</c:v>
                </c:pt>
                <c:pt idx="1">
                  <c:v>18000.000000000004</c:v>
                </c:pt>
                <c:pt idx="2">
                  <c:v>12550.458715596335</c:v>
                </c:pt>
                <c:pt idx="3">
                  <c:v>7522.3880597014941</c:v>
                </c:pt>
                <c:pt idx="4">
                  <c:v>4835.8208955223945</c:v>
                </c:pt>
                <c:pt idx="5">
                  <c:v>2149.2537313432881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490112"/>
        <c:axId val="70393856"/>
      </c:barChart>
      <c:catAx>
        <c:axId val="70490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Ambient Temperature (F)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0393856"/>
        <c:crosses val="autoZero"/>
        <c:auto val="1"/>
        <c:lblAlgn val="ctr"/>
        <c:lblOffset val="100"/>
        <c:noMultiLvlLbl val="0"/>
      </c:catAx>
      <c:valAx>
        <c:axId val="70393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Heating Load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70490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'Temp Corr'!$B$84</c:f>
              <c:strCache>
                <c:ptCount val="1"/>
                <c:pt idx="0">
                  <c:v>SUZ-KD09NA4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Corr'!$B$85:$B$282</c:f>
              <c:numCache>
                <c:formatCode>0</c:formatCode>
                <c:ptCount val="198"/>
                <c:pt idx="37">
                  <c:v>2139.9999999999905</c:v>
                </c:pt>
                <c:pt idx="38">
                  <c:v>2234.9999999999909</c:v>
                </c:pt>
                <c:pt idx="39">
                  <c:v>2329.9999999999914</c:v>
                </c:pt>
                <c:pt idx="40">
                  <c:v>2424.9999999999918</c:v>
                </c:pt>
                <c:pt idx="41">
                  <c:v>2519.9999999999923</c:v>
                </c:pt>
                <c:pt idx="42">
                  <c:v>2614.9999999999927</c:v>
                </c:pt>
                <c:pt idx="43">
                  <c:v>2709.9999999999932</c:v>
                </c:pt>
                <c:pt idx="44">
                  <c:v>2804.9999999999936</c:v>
                </c:pt>
                <c:pt idx="45">
                  <c:v>2899.9999999999941</c:v>
                </c:pt>
                <c:pt idx="46">
                  <c:v>2994.9999999999945</c:v>
                </c:pt>
                <c:pt idx="47">
                  <c:v>3089.999999999995</c:v>
                </c:pt>
                <c:pt idx="48">
                  <c:v>3184.9999999999955</c:v>
                </c:pt>
                <c:pt idx="49">
                  <c:v>3279.9999999999959</c:v>
                </c:pt>
                <c:pt idx="50">
                  <c:v>3374.9999999999964</c:v>
                </c:pt>
                <c:pt idx="51">
                  <c:v>3469.9999999999968</c:v>
                </c:pt>
                <c:pt idx="52">
                  <c:v>3564.9999999999973</c:v>
                </c:pt>
                <c:pt idx="53">
                  <c:v>3659.9999999999977</c:v>
                </c:pt>
                <c:pt idx="54">
                  <c:v>3754.9999999999982</c:v>
                </c:pt>
                <c:pt idx="55">
                  <c:v>3849.9999999999986</c:v>
                </c:pt>
                <c:pt idx="56">
                  <c:v>3944.9999999999991</c:v>
                </c:pt>
                <c:pt idx="57">
                  <c:v>4039.9999999999995</c:v>
                </c:pt>
                <c:pt idx="58">
                  <c:v>4135</c:v>
                </c:pt>
                <c:pt idx="59">
                  <c:v>4230</c:v>
                </c:pt>
                <c:pt idx="60">
                  <c:v>4325</c:v>
                </c:pt>
                <c:pt idx="61">
                  <c:v>4420</c:v>
                </c:pt>
                <c:pt idx="62">
                  <c:v>4515</c:v>
                </c:pt>
                <c:pt idx="63">
                  <c:v>4610</c:v>
                </c:pt>
                <c:pt idx="64">
                  <c:v>4705</c:v>
                </c:pt>
                <c:pt idx="65" formatCode="General">
                  <c:v>4800</c:v>
                </c:pt>
                <c:pt idx="66">
                  <c:v>4879.166666666667</c:v>
                </c:pt>
                <c:pt idx="67">
                  <c:v>4958.3333333333339</c:v>
                </c:pt>
                <c:pt idx="68">
                  <c:v>5037.5000000000009</c:v>
                </c:pt>
                <c:pt idx="69">
                  <c:v>5116.6666666666679</c:v>
                </c:pt>
                <c:pt idx="70">
                  <c:v>5195.8333333333348</c:v>
                </c:pt>
                <c:pt idx="71">
                  <c:v>5275.0000000000018</c:v>
                </c:pt>
                <c:pt idx="72">
                  <c:v>5354.1666666666688</c:v>
                </c:pt>
                <c:pt idx="73">
                  <c:v>5433.3333333333358</c:v>
                </c:pt>
                <c:pt idx="74">
                  <c:v>5512.5000000000027</c:v>
                </c:pt>
                <c:pt idx="75">
                  <c:v>5591.6666666666697</c:v>
                </c:pt>
                <c:pt idx="76">
                  <c:v>5670.8333333333367</c:v>
                </c:pt>
                <c:pt idx="77">
                  <c:v>5750.0000000000036</c:v>
                </c:pt>
                <c:pt idx="78">
                  <c:v>5829.1666666666706</c:v>
                </c:pt>
                <c:pt idx="79">
                  <c:v>5908.3333333333376</c:v>
                </c:pt>
                <c:pt idx="80">
                  <c:v>5987.5000000000045</c:v>
                </c:pt>
                <c:pt idx="81">
                  <c:v>6066.6666666666715</c:v>
                </c:pt>
                <c:pt idx="82">
                  <c:v>6145.8333333333385</c:v>
                </c:pt>
                <c:pt idx="83">
                  <c:v>6225.0000000000055</c:v>
                </c:pt>
                <c:pt idx="84">
                  <c:v>6304.1666666666724</c:v>
                </c:pt>
                <c:pt idx="85">
                  <c:v>6383.3333333333394</c:v>
                </c:pt>
                <c:pt idx="86">
                  <c:v>6462.5000000000064</c:v>
                </c:pt>
                <c:pt idx="87">
                  <c:v>6541.6666666666733</c:v>
                </c:pt>
                <c:pt idx="88">
                  <c:v>6620.8333333333403</c:v>
                </c:pt>
                <c:pt idx="89" formatCode="General">
                  <c:v>6700</c:v>
                </c:pt>
                <c:pt idx="90">
                  <c:v>6770</c:v>
                </c:pt>
                <c:pt idx="91">
                  <c:v>6840</c:v>
                </c:pt>
                <c:pt idx="92">
                  <c:v>6910</c:v>
                </c:pt>
                <c:pt idx="93">
                  <c:v>6980</c:v>
                </c:pt>
                <c:pt idx="94">
                  <c:v>7050</c:v>
                </c:pt>
                <c:pt idx="95">
                  <c:v>7120</c:v>
                </c:pt>
                <c:pt idx="96">
                  <c:v>7190</c:v>
                </c:pt>
                <c:pt idx="97">
                  <c:v>7260</c:v>
                </c:pt>
                <c:pt idx="98">
                  <c:v>7330</c:v>
                </c:pt>
                <c:pt idx="99">
                  <c:v>7400</c:v>
                </c:pt>
                <c:pt idx="100">
                  <c:v>7470</c:v>
                </c:pt>
                <c:pt idx="101">
                  <c:v>7540</c:v>
                </c:pt>
                <c:pt idx="102">
                  <c:v>7610</c:v>
                </c:pt>
                <c:pt idx="103">
                  <c:v>7680</c:v>
                </c:pt>
                <c:pt idx="104">
                  <c:v>7750</c:v>
                </c:pt>
                <c:pt idx="105">
                  <c:v>7820</c:v>
                </c:pt>
                <c:pt idx="106">
                  <c:v>7890</c:v>
                </c:pt>
                <c:pt idx="107">
                  <c:v>7960</c:v>
                </c:pt>
                <c:pt idx="108">
                  <c:v>8030</c:v>
                </c:pt>
                <c:pt idx="109">
                  <c:v>8100</c:v>
                </c:pt>
                <c:pt idx="110">
                  <c:v>8170</c:v>
                </c:pt>
                <c:pt idx="111">
                  <c:v>8240</c:v>
                </c:pt>
                <c:pt idx="112">
                  <c:v>8310</c:v>
                </c:pt>
                <c:pt idx="113">
                  <c:v>8380</c:v>
                </c:pt>
                <c:pt idx="114">
                  <c:v>8450</c:v>
                </c:pt>
                <c:pt idx="115">
                  <c:v>8520</c:v>
                </c:pt>
                <c:pt idx="116">
                  <c:v>8590</c:v>
                </c:pt>
                <c:pt idx="117">
                  <c:v>8660</c:v>
                </c:pt>
                <c:pt idx="118">
                  <c:v>8730</c:v>
                </c:pt>
                <c:pt idx="119">
                  <c:v>8800</c:v>
                </c:pt>
                <c:pt idx="120">
                  <c:v>8870</c:v>
                </c:pt>
                <c:pt idx="121">
                  <c:v>8940</c:v>
                </c:pt>
                <c:pt idx="122">
                  <c:v>9010</c:v>
                </c:pt>
                <c:pt idx="123">
                  <c:v>9080</c:v>
                </c:pt>
                <c:pt idx="124">
                  <c:v>9150</c:v>
                </c:pt>
                <c:pt idx="125">
                  <c:v>9220</c:v>
                </c:pt>
                <c:pt idx="126">
                  <c:v>9290</c:v>
                </c:pt>
                <c:pt idx="127">
                  <c:v>9360</c:v>
                </c:pt>
                <c:pt idx="128">
                  <c:v>9430</c:v>
                </c:pt>
                <c:pt idx="129">
                  <c:v>9500</c:v>
                </c:pt>
                <c:pt idx="130">
                  <c:v>9570</c:v>
                </c:pt>
                <c:pt idx="131">
                  <c:v>9640</c:v>
                </c:pt>
                <c:pt idx="132">
                  <c:v>9710</c:v>
                </c:pt>
                <c:pt idx="133">
                  <c:v>9780</c:v>
                </c:pt>
                <c:pt idx="134">
                  <c:v>9850</c:v>
                </c:pt>
                <c:pt idx="135">
                  <c:v>9920</c:v>
                </c:pt>
                <c:pt idx="136">
                  <c:v>9990</c:v>
                </c:pt>
                <c:pt idx="137">
                  <c:v>10060</c:v>
                </c:pt>
                <c:pt idx="138">
                  <c:v>10130</c:v>
                </c:pt>
                <c:pt idx="139">
                  <c:v>10200</c:v>
                </c:pt>
                <c:pt idx="140">
                  <c:v>10270</c:v>
                </c:pt>
                <c:pt idx="141">
                  <c:v>10340</c:v>
                </c:pt>
                <c:pt idx="142">
                  <c:v>10410</c:v>
                </c:pt>
                <c:pt idx="143">
                  <c:v>10480</c:v>
                </c:pt>
                <c:pt idx="144">
                  <c:v>10550</c:v>
                </c:pt>
                <c:pt idx="145">
                  <c:v>10620</c:v>
                </c:pt>
                <c:pt idx="146">
                  <c:v>10690</c:v>
                </c:pt>
                <c:pt idx="147">
                  <c:v>10760</c:v>
                </c:pt>
                <c:pt idx="148">
                  <c:v>10830</c:v>
                </c:pt>
                <c:pt idx="149" formatCode="General">
                  <c:v>10900</c:v>
                </c:pt>
                <c:pt idx="150">
                  <c:v>10935</c:v>
                </c:pt>
                <c:pt idx="151">
                  <c:v>10970</c:v>
                </c:pt>
                <c:pt idx="152">
                  <c:v>11005</c:v>
                </c:pt>
                <c:pt idx="153">
                  <c:v>11040</c:v>
                </c:pt>
                <c:pt idx="154">
                  <c:v>11075</c:v>
                </c:pt>
                <c:pt idx="155">
                  <c:v>11110</c:v>
                </c:pt>
                <c:pt idx="156">
                  <c:v>11145</c:v>
                </c:pt>
                <c:pt idx="157">
                  <c:v>11180</c:v>
                </c:pt>
                <c:pt idx="158">
                  <c:v>11215</c:v>
                </c:pt>
                <c:pt idx="159">
                  <c:v>11250</c:v>
                </c:pt>
                <c:pt idx="160">
                  <c:v>11285</c:v>
                </c:pt>
                <c:pt idx="161">
                  <c:v>11320</c:v>
                </c:pt>
                <c:pt idx="162">
                  <c:v>11355</c:v>
                </c:pt>
                <c:pt idx="163">
                  <c:v>11390</c:v>
                </c:pt>
                <c:pt idx="164">
                  <c:v>11425</c:v>
                </c:pt>
                <c:pt idx="165">
                  <c:v>11460</c:v>
                </c:pt>
                <c:pt idx="166">
                  <c:v>11495</c:v>
                </c:pt>
                <c:pt idx="167">
                  <c:v>11530</c:v>
                </c:pt>
                <c:pt idx="168">
                  <c:v>11565</c:v>
                </c:pt>
                <c:pt idx="169">
                  <c:v>11600</c:v>
                </c:pt>
                <c:pt idx="170">
                  <c:v>11635</c:v>
                </c:pt>
                <c:pt idx="171">
                  <c:v>11670</c:v>
                </c:pt>
                <c:pt idx="172">
                  <c:v>11705</c:v>
                </c:pt>
                <c:pt idx="173">
                  <c:v>11740</c:v>
                </c:pt>
                <c:pt idx="174">
                  <c:v>11775</c:v>
                </c:pt>
                <c:pt idx="175">
                  <c:v>11810</c:v>
                </c:pt>
                <c:pt idx="176">
                  <c:v>11845</c:v>
                </c:pt>
                <c:pt idx="177">
                  <c:v>11880</c:v>
                </c:pt>
                <c:pt idx="178">
                  <c:v>11915</c:v>
                </c:pt>
                <c:pt idx="179">
                  <c:v>11950</c:v>
                </c:pt>
                <c:pt idx="180">
                  <c:v>11985</c:v>
                </c:pt>
                <c:pt idx="181">
                  <c:v>12020</c:v>
                </c:pt>
                <c:pt idx="182">
                  <c:v>12055</c:v>
                </c:pt>
                <c:pt idx="183">
                  <c:v>12090</c:v>
                </c:pt>
                <c:pt idx="184">
                  <c:v>12125</c:v>
                </c:pt>
                <c:pt idx="185">
                  <c:v>12160</c:v>
                </c:pt>
                <c:pt idx="186">
                  <c:v>12195</c:v>
                </c:pt>
                <c:pt idx="187">
                  <c:v>12230</c:v>
                </c:pt>
                <c:pt idx="188">
                  <c:v>12265</c:v>
                </c:pt>
                <c:pt idx="189">
                  <c:v>12300</c:v>
                </c:pt>
                <c:pt idx="190">
                  <c:v>12335</c:v>
                </c:pt>
                <c:pt idx="191">
                  <c:v>12370</c:v>
                </c:pt>
                <c:pt idx="192">
                  <c:v>12405</c:v>
                </c:pt>
                <c:pt idx="193">
                  <c:v>12440</c:v>
                </c:pt>
                <c:pt idx="194">
                  <c:v>12475</c:v>
                </c:pt>
                <c:pt idx="195">
                  <c:v>12510</c:v>
                </c:pt>
                <c:pt idx="196">
                  <c:v>12545</c:v>
                </c:pt>
                <c:pt idx="197">
                  <c:v>12580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'Temp Corr'!$C$84</c:f>
              <c:strCache>
                <c:ptCount val="1"/>
                <c:pt idx="0">
                  <c:v>SUZ-KD12NA4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Corr'!$C$85:$C$282</c:f>
              <c:numCache>
                <c:formatCode>0</c:formatCode>
                <c:ptCount val="198"/>
                <c:pt idx="37">
                  <c:v>1800</c:v>
                </c:pt>
                <c:pt idx="38">
                  <c:v>1950</c:v>
                </c:pt>
                <c:pt idx="39">
                  <c:v>2100</c:v>
                </c:pt>
                <c:pt idx="40">
                  <c:v>2250</c:v>
                </c:pt>
                <c:pt idx="41">
                  <c:v>2400</c:v>
                </c:pt>
                <c:pt idx="42">
                  <c:v>2550</c:v>
                </c:pt>
                <c:pt idx="43">
                  <c:v>2700</c:v>
                </c:pt>
                <c:pt idx="44">
                  <c:v>2850</c:v>
                </c:pt>
                <c:pt idx="45">
                  <c:v>3000</c:v>
                </c:pt>
                <c:pt idx="46">
                  <c:v>3150</c:v>
                </c:pt>
                <c:pt idx="47">
                  <c:v>3300</c:v>
                </c:pt>
                <c:pt idx="48">
                  <c:v>3450</c:v>
                </c:pt>
                <c:pt idx="49">
                  <c:v>3600</c:v>
                </c:pt>
                <c:pt idx="50">
                  <c:v>3750</c:v>
                </c:pt>
                <c:pt idx="51">
                  <c:v>3900</c:v>
                </c:pt>
                <c:pt idx="52">
                  <c:v>4050</c:v>
                </c:pt>
                <c:pt idx="53">
                  <c:v>4200</c:v>
                </c:pt>
                <c:pt idx="54">
                  <c:v>4350</c:v>
                </c:pt>
                <c:pt idx="55">
                  <c:v>4500</c:v>
                </c:pt>
                <c:pt idx="56">
                  <c:v>4650</c:v>
                </c:pt>
                <c:pt idx="57">
                  <c:v>4800</c:v>
                </c:pt>
                <c:pt idx="58">
                  <c:v>4950</c:v>
                </c:pt>
                <c:pt idx="59">
                  <c:v>5100</c:v>
                </c:pt>
                <c:pt idx="60">
                  <c:v>5250</c:v>
                </c:pt>
                <c:pt idx="61">
                  <c:v>5400</c:v>
                </c:pt>
                <c:pt idx="62">
                  <c:v>5550</c:v>
                </c:pt>
                <c:pt idx="63">
                  <c:v>5700</c:v>
                </c:pt>
                <c:pt idx="64">
                  <c:v>5850</c:v>
                </c:pt>
                <c:pt idx="65" formatCode="General">
                  <c:v>6000</c:v>
                </c:pt>
                <c:pt idx="66">
                  <c:v>6125</c:v>
                </c:pt>
                <c:pt idx="67">
                  <c:v>6250</c:v>
                </c:pt>
                <c:pt idx="68">
                  <c:v>6375</c:v>
                </c:pt>
                <c:pt idx="69">
                  <c:v>6500</c:v>
                </c:pt>
                <c:pt idx="70">
                  <c:v>6625</c:v>
                </c:pt>
                <c:pt idx="71">
                  <c:v>6750</c:v>
                </c:pt>
                <c:pt idx="72">
                  <c:v>6875</c:v>
                </c:pt>
                <c:pt idx="73">
                  <c:v>7000</c:v>
                </c:pt>
                <c:pt idx="74">
                  <c:v>7125</c:v>
                </c:pt>
                <c:pt idx="75">
                  <c:v>7250</c:v>
                </c:pt>
                <c:pt idx="76">
                  <c:v>7375</c:v>
                </c:pt>
                <c:pt idx="77">
                  <c:v>7500</c:v>
                </c:pt>
                <c:pt idx="78">
                  <c:v>7625</c:v>
                </c:pt>
                <c:pt idx="79">
                  <c:v>7750</c:v>
                </c:pt>
                <c:pt idx="80">
                  <c:v>7875</c:v>
                </c:pt>
                <c:pt idx="81">
                  <c:v>8000</c:v>
                </c:pt>
                <c:pt idx="82">
                  <c:v>8125</c:v>
                </c:pt>
                <c:pt idx="83">
                  <c:v>8250</c:v>
                </c:pt>
                <c:pt idx="84">
                  <c:v>8375</c:v>
                </c:pt>
                <c:pt idx="85">
                  <c:v>8500</c:v>
                </c:pt>
                <c:pt idx="86">
                  <c:v>8625</c:v>
                </c:pt>
                <c:pt idx="87">
                  <c:v>8750</c:v>
                </c:pt>
                <c:pt idx="88">
                  <c:v>8875</c:v>
                </c:pt>
                <c:pt idx="89" formatCode="General">
                  <c:v>9000</c:v>
                </c:pt>
                <c:pt idx="90">
                  <c:v>9076.6666666666661</c:v>
                </c:pt>
                <c:pt idx="91">
                  <c:v>9153.3333333333321</c:v>
                </c:pt>
                <c:pt idx="92">
                  <c:v>9229.9999999999982</c:v>
                </c:pt>
                <c:pt idx="93">
                  <c:v>9306.6666666666642</c:v>
                </c:pt>
                <c:pt idx="94">
                  <c:v>9383.3333333333303</c:v>
                </c:pt>
                <c:pt idx="95">
                  <c:v>9459.9999999999964</c:v>
                </c:pt>
                <c:pt idx="96">
                  <c:v>9536.6666666666624</c:v>
                </c:pt>
                <c:pt idx="97">
                  <c:v>9613.3333333333285</c:v>
                </c:pt>
                <c:pt idx="98">
                  <c:v>9689.9999999999945</c:v>
                </c:pt>
                <c:pt idx="99">
                  <c:v>9766.6666666666606</c:v>
                </c:pt>
                <c:pt idx="100">
                  <c:v>9843.3333333333267</c:v>
                </c:pt>
                <c:pt idx="101">
                  <c:v>9919.9999999999927</c:v>
                </c:pt>
                <c:pt idx="102">
                  <c:v>9996.6666666666588</c:v>
                </c:pt>
                <c:pt idx="103">
                  <c:v>10073.333333333325</c:v>
                </c:pt>
                <c:pt idx="104">
                  <c:v>10149.999999999991</c:v>
                </c:pt>
                <c:pt idx="105">
                  <c:v>10226.666666666657</c:v>
                </c:pt>
                <c:pt idx="106">
                  <c:v>10303.333333333323</c:v>
                </c:pt>
                <c:pt idx="107">
                  <c:v>10379.999999999989</c:v>
                </c:pt>
                <c:pt idx="108">
                  <c:v>10456.666666666655</c:v>
                </c:pt>
                <c:pt idx="109">
                  <c:v>10533.333333333321</c:v>
                </c:pt>
                <c:pt idx="110">
                  <c:v>10609.999999999987</c:v>
                </c:pt>
                <c:pt idx="111">
                  <c:v>10686.666666666653</c:v>
                </c:pt>
                <c:pt idx="112">
                  <c:v>10763.333333333319</c:v>
                </c:pt>
                <c:pt idx="113">
                  <c:v>10839.999999999985</c:v>
                </c:pt>
                <c:pt idx="114">
                  <c:v>10916.666666666652</c:v>
                </c:pt>
                <c:pt idx="115">
                  <c:v>10993.333333333318</c:v>
                </c:pt>
                <c:pt idx="116">
                  <c:v>11069.999999999984</c:v>
                </c:pt>
                <c:pt idx="117">
                  <c:v>11146.66666666665</c:v>
                </c:pt>
                <c:pt idx="118">
                  <c:v>11223.333333333316</c:v>
                </c:pt>
                <c:pt idx="119">
                  <c:v>11299.999999999982</c:v>
                </c:pt>
                <c:pt idx="120">
                  <c:v>11376.666666666648</c:v>
                </c:pt>
                <c:pt idx="121">
                  <c:v>11453.333333333314</c:v>
                </c:pt>
                <c:pt idx="122">
                  <c:v>11529.99999999998</c:v>
                </c:pt>
                <c:pt idx="123">
                  <c:v>11606.666666666646</c:v>
                </c:pt>
                <c:pt idx="124">
                  <c:v>11683.333333333312</c:v>
                </c:pt>
                <c:pt idx="125">
                  <c:v>11759.999999999978</c:v>
                </c:pt>
                <c:pt idx="126">
                  <c:v>11836.666666666644</c:v>
                </c:pt>
                <c:pt idx="127">
                  <c:v>11913.33333333331</c:v>
                </c:pt>
                <c:pt idx="128">
                  <c:v>11989.999999999976</c:v>
                </c:pt>
                <c:pt idx="129">
                  <c:v>12066.666666666642</c:v>
                </c:pt>
                <c:pt idx="130">
                  <c:v>12143.333333333308</c:v>
                </c:pt>
                <c:pt idx="131">
                  <c:v>12219.999999999975</c:v>
                </c:pt>
                <c:pt idx="132">
                  <c:v>12296.666666666641</c:v>
                </c:pt>
                <c:pt idx="133">
                  <c:v>12373.333333333307</c:v>
                </c:pt>
                <c:pt idx="134">
                  <c:v>12449.999999999973</c:v>
                </c:pt>
                <c:pt idx="135">
                  <c:v>12526.666666666639</c:v>
                </c:pt>
                <c:pt idx="136">
                  <c:v>12603.333333333305</c:v>
                </c:pt>
                <c:pt idx="137">
                  <c:v>12679.999999999971</c:v>
                </c:pt>
                <c:pt idx="138">
                  <c:v>12756.666666666637</c:v>
                </c:pt>
                <c:pt idx="139">
                  <c:v>12833.333333333303</c:v>
                </c:pt>
                <c:pt idx="140">
                  <c:v>12909.999999999969</c:v>
                </c:pt>
                <c:pt idx="141">
                  <c:v>12986.666666666635</c:v>
                </c:pt>
                <c:pt idx="142">
                  <c:v>13063.333333333301</c:v>
                </c:pt>
                <c:pt idx="143">
                  <c:v>13139.999999999967</c:v>
                </c:pt>
                <c:pt idx="144">
                  <c:v>13216.666666666633</c:v>
                </c:pt>
                <c:pt idx="145">
                  <c:v>13293.333333333299</c:v>
                </c:pt>
                <c:pt idx="146">
                  <c:v>13369.999999999965</c:v>
                </c:pt>
                <c:pt idx="147">
                  <c:v>13446.666666666631</c:v>
                </c:pt>
                <c:pt idx="148">
                  <c:v>13523.333333333298</c:v>
                </c:pt>
                <c:pt idx="149" formatCode="General">
                  <c:v>13600</c:v>
                </c:pt>
                <c:pt idx="150">
                  <c:v>13638.33333333335</c:v>
                </c:pt>
                <c:pt idx="151">
                  <c:v>13676.666666666701</c:v>
                </c:pt>
                <c:pt idx="152">
                  <c:v>13715.000000000051</c:v>
                </c:pt>
                <c:pt idx="153">
                  <c:v>13753.333333333401</c:v>
                </c:pt>
                <c:pt idx="154">
                  <c:v>13791.666666666752</c:v>
                </c:pt>
                <c:pt idx="155">
                  <c:v>13830.000000000102</c:v>
                </c:pt>
                <c:pt idx="156">
                  <c:v>13868.333333333452</c:v>
                </c:pt>
                <c:pt idx="157">
                  <c:v>13906.666666666802</c:v>
                </c:pt>
                <c:pt idx="158">
                  <c:v>13945.000000000153</c:v>
                </c:pt>
                <c:pt idx="159">
                  <c:v>13983.333333333503</c:v>
                </c:pt>
                <c:pt idx="160">
                  <c:v>14021.666666666853</c:v>
                </c:pt>
                <c:pt idx="161">
                  <c:v>14060.000000000204</c:v>
                </c:pt>
                <c:pt idx="162">
                  <c:v>14098.333333333554</c:v>
                </c:pt>
                <c:pt idx="163">
                  <c:v>14136.666666666904</c:v>
                </c:pt>
                <c:pt idx="164">
                  <c:v>14175.000000000255</c:v>
                </c:pt>
                <c:pt idx="165">
                  <c:v>14213.333333333605</c:v>
                </c:pt>
                <c:pt idx="166">
                  <c:v>14251.666666666955</c:v>
                </c:pt>
                <c:pt idx="167">
                  <c:v>14290.000000000306</c:v>
                </c:pt>
                <c:pt idx="168">
                  <c:v>14328.333333333656</c:v>
                </c:pt>
                <c:pt idx="169">
                  <c:v>14366.666666667006</c:v>
                </c:pt>
                <c:pt idx="170">
                  <c:v>14405.000000000357</c:v>
                </c:pt>
                <c:pt idx="171">
                  <c:v>14443.333333333707</c:v>
                </c:pt>
                <c:pt idx="172">
                  <c:v>14481.666666667057</c:v>
                </c:pt>
                <c:pt idx="173">
                  <c:v>14520.000000000407</c:v>
                </c:pt>
                <c:pt idx="174">
                  <c:v>14558.333333333758</c:v>
                </c:pt>
                <c:pt idx="175">
                  <c:v>14596.666666667108</c:v>
                </c:pt>
                <c:pt idx="176">
                  <c:v>14635.000000000458</c:v>
                </c:pt>
                <c:pt idx="177">
                  <c:v>14673.333333333809</c:v>
                </c:pt>
                <c:pt idx="178">
                  <c:v>14711.666666667159</c:v>
                </c:pt>
                <c:pt idx="179">
                  <c:v>14750.000000000509</c:v>
                </c:pt>
                <c:pt idx="180">
                  <c:v>14788.33333333386</c:v>
                </c:pt>
                <c:pt idx="181">
                  <c:v>14826.66666666721</c:v>
                </c:pt>
                <c:pt idx="182">
                  <c:v>14865.00000000056</c:v>
                </c:pt>
                <c:pt idx="183">
                  <c:v>14903.333333333911</c:v>
                </c:pt>
                <c:pt idx="184">
                  <c:v>14941.666666667261</c:v>
                </c:pt>
                <c:pt idx="185">
                  <c:v>14980.000000000611</c:v>
                </c:pt>
                <c:pt idx="186">
                  <c:v>15018.333333333961</c:v>
                </c:pt>
                <c:pt idx="187">
                  <c:v>15056.666666667312</c:v>
                </c:pt>
                <c:pt idx="188">
                  <c:v>15095.000000000662</c:v>
                </c:pt>
                <c:pt idx="189">
                  <c:v>15133.333333334012</c:v>
                </c:pt>
                <c:pt idx="190">
                  <c:v>15171.666666667363</c:v>
                </c:pt>
                <c:pt idx="191">
                  <c:v>15210.000000000713</c:v>
                </c:pt>
                <c:pt idx="192">
                  <c:v>15248.333333334063</c:v>
                </c:pt>
                <c:pt idx="193">
                  <c:v>15286.666666667414</c:v>
                </c:pt>
                <c:pt idx="194">
                  <c:v>15325.000000000764</c:v>
                </c:pt>
                <c:pt idx="195">
                  <c:v>15363.333333334114</c:v>
                </c:pt>
                <c:pt idx="196">
                  <c:v>15401.666666667465</c:v>
                </c:pt>
                <c:pt idx="197">
                  <c:v>15440.000000000815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'Temp Corr'!$D$84</c:f>
              <c:strCache>
                <c:ptCount val="1"/>
                <c:pt idx="0">
                  <c:v>SUZ-KD15NA4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Corr'!$D$85:$D$282</c:f>
              <c:numCache>
                <c:formatCode>0</c:formatCode>
                <c:ptCount val="198"/>
                <c:pt idx="37">
                  <c:v>2299.9999999999959</c:v>
                </c:pt>
                <c:pt idx="38">
                  <c:v>2499.9999999999964</c:v>
                </c:pt>
                <c:pt idx="39">
                  <c:v>2699.9999999999968</c:v>
                </c:pt>
                <c:pt idx="40">
                  <c:v>2899.9999999999973</c:v>
                </c:pt>
                <c:pt idx="41">
                  <c:v>3099.9999999999977</c:v>
                </c:pt>
                <c:pt idx="42">
                  <c:v>3299.9999999999982</c:v>
                </c:pt>
                <c:pt idx="43">
                  <c:v>3499.9999999999986</c:v>
                </c:pt>
                <c:pt idx="44">
                  <c:v>3699.9999999999991</c:v>
                </c:pt>
                <c:pt idx="45">
                  <c:v>3899.9999999999995</c:v>
                </c:pt>
                <c:pt idx="46">
                  <c:v>4100</c:v>
                </c:pt>
                <c:pt idx="47">
                  <c:v>4300</c:v>
                </c:pt>
                <c:pt idx="48">
                  <c:v>4500</c:v>
                </c:pt>
                <c:pt idx="49">
                  <c:v>4700</c:v>
                </c:pt>
                <c:pt idx="50">
                  <c:v>4900</c:v>
                </c:pt>
                <c:pt idx="51">
                  <c:v>5100</c:v>
                </c:pt>
                <c:pt idx="52">
                  <c:v>5300</c:v>
                </c:pt>
                <c:pt idx="53">
                  <c:v>5500</c:v>
                </c:pt>
                <c:pt idx="54">
                  <c:v>5700</c:v>
                </c:pt>
                <c:pt idx="55">
                  <c:v>5900</c:v>
                </c:pt>
                <c:pt idx="56">
                  <c:v>6100</c:v>
                </c:pt>
                <c:pt idx="57">
                  <c:v>6300</c:v>
                </c:pt>
                <c:pt idx="58">
                  <c:v>6500</c:v>
                </c:pt>
                <c:pt idx="59">
                  <c:v>6700</c:v>
                </c:pt>
                <c:pt idx="60">
                  <c:v>6900</c:v>
                </c:pt>
                <c:pt idx="61">
                  <c:v>7100</c:v>
                </c:pt>
                <c:pt idx="62">
                  <c:v>7300</c:v>
                </c:pt>
                <c:pt idx="63">
                  <c:v>7500</c:v>
                </c:pt>
                <c:pt idx="64">
                  <c:v>7700</c:v>
                </c:pt>
                <c:pt idx="65" formatCode="General">
                  <c:v>7900</c:v>
                </c:pt>
                <c:pt idx="66">
                  <c:v>8066.666666666667</c:v>
                </c:pt>
                <c:pt idx="67">
                  <c:v>8233.3333333333339</c:v>
                </c:pt>
                <c:pt idx="68">
                  <c:v>8400</c:v>
                </c:pt>
                <c:pt idx="69">
                  <c:v>8566.6666666666661</c:v>
                </c:pt>
                <c:pt idx="70">
                  <c:v>8733.3333333333321</c:v>
                </c:pt>
                <c:pt idx="71">
                  <c:v>8899.9999999999982</c:v>
                </c:pt>
                <c:pt idx="72">
                  <c:v>9066.6666666666642</c:v>
                </c:pt>
                <c:pt idx="73">
                  <c:v>9233.3333333333303</c:v>
                </c:pt>
                <c:pt idx="74">
                  <c:v>9399.9999999999964</c:v>
                </c:pt>
                <c:pt idx="75">
                  <c:v>9566.6666666666624</c:v>
                </c:pt>
                <c:pt idx="76">
                  <c:v>9733.3333333333285</c:v>
                </c:pt>
                <c:pt idx="77">
                  <c:v>9899.9999999999945</c:v>
                </c:pt>
                <c:pt idx="78">
                  <c:v>10066.666666666661</c:v>
                </c:pt>
                <c:pt idx="79">
                  <c:v>10233.333333333327</c:v>
                </c:pt>
                <c:pt idx="80">
                  <c:v>10399.999999999993</c:v>
                </c:pt>
                <c:pt idx="81">
                  <c:v>10566.666666666659</c:v>
                </c:pt>
                <c:pt idx="82">
                  <c:v>10733.333333333325</c:v>
                </c:pt>
                <c:pt idx="83">
                  <c:v>10899.999999999991</c:v>
                </c:pt>
                <c:pt idx="84">
                  <c:v>11066.666666666657</c:v>
                </c:pt>
                <c:pt idx="85">
                  <c:v>11233.333333333323</c:v>
                </c:pt>
                <c:pt idx="86">
                  <c:v>11399.999999999989</c:v>
                </c:pt>
                <c:pt idx="87">
                  <c:v>11566.666666666655</c:v>
                </c:pt>
                <c:pt idx="88">
                  <c:v>11733.333333333321</c:v>
                </c:pt>
                <c:pt idx="89" formatCode="General">
                  <c:v>11900</c:v>
                </c:pt>
                <c:pt idx="90">
                  <c:v>12001.666666666666</c:v>
                </c:pt>
                <c:pt idx="91">
                  <c:v>12103.333333333332</c:v>
                </c:pt>
                <c:pt idx="92">
                  <c:v>12204.999999999998</c:v>
                </c:pt>
                <c:pt idx="93">
                  <c:v>12306.666666666664</c:v>
                </c:pt>
                <c:pt idx="94">
                  <c:v>12408.33333333333</c:v>
                </c:pt>
                <c:pt idx="95">
                  <c:v>12509.999999999996</c:v>
                </c:pt>
                <c:pt idx="96">
                  <c:v>12611.666666666662</c:v>
                </c:pt>
                <c:pt idx="97">
                  <c:v>12713.333333333328</c:v>
                </c:pt>
                <c:pt idx="98">
                  <c:v>12814.999999999995</c:v>
                </c:pt>
                <c:pt idx="99">
                  <c:v>12916.666666666661</c:v>
                </c:pt>
                <c:pt idx="100">
                  <c:v>13018.333333333327</c:v>
                </c:pt>
                <c:pt idx="101">
                  <c:v>13119.999999999993</c:v>
                </c:pt>
                <c:pt idx="102">
                  <c:v>13221.666666666659</c:v>
                </c:pt>
                <c:pt idx="103">
                  <c:v>13323.333333333325</c:v>
                </c:pt>
                <c:pt idx="104">
                  <c:v>13424.999999999991</c:v>
                </c:pt>
                <c:pt idx="105">
                  <c:v>13526.666666666657</c:v>
                </c:pt>
                <c:pt idx="106">
                  <c:v>13628.333333333323</c:v>
                </c:pt>
                <c:pt idx="107">
                  <c:v>13729.999999999989</c:v>
                </c:pt>
                <c:pt idx="108">
                  <c:v>13831.666666666655</c:v>
                </c:pt>
                <c:pt idx="109">
                  <c:v>13933.333333333321</c:v>
                </c:pt>
                <c:pt idx="110">
                  <c:v>14034.999999999987</c:v>
                </c:pt>
                <c:pt idx="111">
                  <c:v>14136.666666666653</c:v>
                </c:pt>
                <c:pt idx="112">
                  <c:v>14238.333333333319</c:v>
                </c:pt>
                <c:pt idx="113">
                  <c:v>14339.999999999985</c:v>
                </c:pt>
                <c:pt idx="114">
                  <c:v>14441.666666666652</c:v>
                </c:pt>
                <c:pt idx="115">
                  <c:v>14543.333333333318</c:v>
                </c:pt>
                <c:pt idx="116">
                  <c:v>14644.999999999984</c:v>
                </c:pt>
                <c:pt idx="117">
                  <c:v>14746.66666666665</c:v>
                </c:pt>
                <c:pt idx="118">
                  <c:v>14848.333333333316</c:v>
                </c:pt>
                <c:pt idx="119">
                  <c:v>14949.999999999982</c:v>
                </c:pt>
                <c:pt idx="120">
                  <c:v>15051.666666666648</c:v>
                </c:pt>
                <c:pt idx="121">
                  <c:v>15153.333333333314</c:v>
                </c:pt>
                <c:pt idx="122">
                  <c:v>15254.99999999998</c:v>
                </c:pt>
                <c:pt idx="123">
                  <c:v>15356.666666666646</c:v>
                </c:pt>
                <c:pt idx="124">
                  <c:v>15458.333333333312</c:v>
                </c:pt>
                <c:pt idx="125">
                  <c:v>15559.999999999978</c:v>
                </c:pt>
                <c:pt idx="126">
                  <c:v>15661.666666666644</c:v>
                </c:pt>
                <c:pt idx="127">
                  <c:v>15763.33333333331</c:v>
                </c:pt>
                <c:pt idx="128">
                  <c:v>15864.999999999976</c:v>
                </c:pt>
                <c:pt idx="129">
                  <c:v>15966.666666666642</c:v>
                </c:pt>
                <c:pt idx="130">
                  <c:v>16068.333333333308</c:v>
                </c:pt>
                <c:pt idx="131">
                  <c:v>16169.999999999975</c:v>
                </c:pt>
                <c:pt idx="132">
                  <c:v>16271.666666666641</c:v>
                </c:pt>
                <c:pt idx="133">
                  <c:v>16373.333333333307</c:v>
                </c:pt>
                <c:pt idx="134">
                  <c:v>16474.999999999975</c:v>
                </c:pt>
                <c:pt idx="135">
                  <c:v>16576.666666666642</c:v>
                </c:pt>
                <c:pt idx="136">
                  <c:v>16678.33333333331</c:v>
                </c:pt>
                <c:pt idx="137">
                  <c:v>16779.999999999978</c:v>
                </c:pt>
                <c:pt idx="138">
                  <c:v>16881.666666666646</c:v>
                </c:pt>
                <c:pt idx="139">
                  <c:v>16983.333333333314</c:v>
                </c:pt>
                <c:pt idx="140">
                  <c:v>17084.999999999982</c:v>
                </c:pt>
                <c:pt idx="141">
                  <c:v>17186.66666666665</c:v>
                </c:pt>
                <c:pt idx="142">
                  <c:v>17288.333333333318</c:v>
                </c:pt>
                <c:pt idx="143">
                  <c:v>17389.999999999985</c:v>
                </c:pt>
                <c:pt idx="144">
                  <c:v>17491.666666666653</c:v>
                </c:pt>
                <c:pt idx="145">
                  <c:v>17593.333333333321</c:v>
                </c:pt>
                <c:pt idx="146">
                  <c:v>17694.999999999989</c:v>
                </c:pt>
                <c:pt idx="147">
                  <c:v>17796.666666666657</c:v>
                </c:pt>
                <c:pt idx="148">
                  <c:v>17898.333333333325</c:v>
                </c:pt>
                <c:pt idx="149" formatCode="General">
                  <c:v>18000</c:v>
                </c:pt>
                <c:pt idx="150">
                  <c:v>18050.833333333336</c:v>
                </c:pt>
                <c:pt idx="151">
                  <c:v>18101.666666666672</c:v>
                </c:pt>
                <c:pt idx="152">
                  <c:v>18152.500000000007</c:v>
                </c:pt>
                <c:pt idx="153">
                  <c:v>18203.333333333343</c:v>
                </c:pt>
                <c:pt idx="154">
                  <c:v>18254.166666666679</c:v>
                </c:pt>
                <c:pt idx="155">
                  <c:v>18305.000000000015</c:v>
                </c:pt>
                <c:pt idx="156">
                  <c:v>18355.83333333335</c:v>
                </c:pt>
                <c:pt idx="157">
                  <c:v>18406.666666666686</c:v>
                </c:pt>
                <c:pt idx="158">
                  <c:v>18457.500000000022</c:v>
                </c:pt>
                <c:pt idx="159">
                  <c:v>18508.333333333358</c:v>
                </c:pt>
                <c:pt idx="160">
                  <c:v>18559.166666666693</c:v>
                </c:pt>
                <c:pt idx="161">
                  <c:v>18610.000000000029</c:v>
                </c:pt>
                <c:pt idx="162">
                  <c:v>18660.833333333365</c:v>
                </c:pt>
                <c:pt idx="163">
                  <c:v>18711.666666666701</c:v>
                </c:pt>
                <c:pt idx="164">
                  <c:v>18762.500000000036</c:v>
                </c:pt>
                <c:pt idx="165">
                  <c:v>18813.333333333372</c:v>
                </c:pt>
                <c:pt idx="166">
                  <c:v>18864.166666666708</c:v>
                </c:pt>
                <c:pt idx="167">
                  <c:v>18915.000000000044</c:v>
                </c:pt>
                <c:pt idx="168">
                  <c:v>18965.833333333379</c:v>
                </c:pt>
                <c:pt idx="169">
                  <c:v>19016.666666666715</c:v>
                </c:pt>
                <c:pt idx="170">
                  <c:v>19067.500000000051</c:v>
                </c:pt>
                <c:pt idx="171">
                  <c:v>19118.333333333387</c:v>
                </c:pt>
                <c:pt idx="172">
                  <c:v>19169.166666666722</c:v>
                </c:pt>
                <c:pt idx="173">
                  <c:v>19220.000000000058</c:v>
                </c:pt>
                <c:pt idx="174">
                  <c:v>19270.833333333394</c:v>
                </c:pt>
                <c:pt idx="175">
                  <c:v>19321.66666666673</c:v>
                </c:pt>
                <c:pt idx="176">
                  <c:v>19372.500000000065</c:v>
                </c:pt>
                <c:pt idx="177">
                  <c:v>19423.333333333401</c:v>
                </c:pt>
                <c:pt idx="178">
                  <c:v>19474.166666666737</c:v>
                </c:pt>
                <c:pt idx="179">
                  <c:v>19525.000000000073</c:v>
                </c:pt>
                <c:pt idx="180">
                  <c:v>19575.833333333409</c:v>
                </c:pt>
                <c:pt idx="181">
                  <c:v>19626.666666666744</c:v>
                </c:pt>
                <c:pt idx="182">
                  <c:v>19677.50000000008</c:v>
                </c:pt>
                <c:pt idx="183">
                  <c:v>19728.333333333416</c:v>
                </c:pt>
                <c:pt idx="184">
                  <c:v>19779.166666666752</c:v>
                </c:pt>
                <c:pt idx="185">
                  <c:v>19830.000000000087</c:v>
                </c:pt>
                <c:pt idx="186">
                  <c:v>19880.833333333423</c:v>
                </c:pt>
                <c:pt idx="187">
                  <c:v>19931.666666666759</c:v>
                </c:pt>
                <c:pt idx="188">
                  <c:v>19982.500000000095</c:v>
                </c:pt>
                <c:pt idx="189">
                  <c:v>20033.33333333343</c:v>
                </c:pt>
                <c:pt idx="190">
                  <c:v>20084.166666666766</c:v>
                </c:pt>
                <c:pt idx="191">
                  <c:v>20135.000000000102</c:v>
                </c:pt>
                <c:pt idx="192">
                  <c:v>20185.833333333438</c:v>
                </c:pt>
                <c:pt idx="193">
                  <c:v>20236.666666666773</c:v>
                </c:pt>
                <c:pt idx="194">
                  <c:v>20287.500000000109</c:v>
                </c:pt>
                <c:pt idx="195">
                  <c:v>20338.333333333445</c:v>
                </c:pt>
                <c:pt idx="196">
                  <c:v>20389.166666666781</c:v>
                </c:pt>
                <c:pt idx="197">
                  <c:v>20440.000000000116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'Temp Corr'!$E$84</c:f>
              <c:strCache>
                <c:ptCount val="1"/>
                <c:pt idx="0">
                  <c:v>SUZ-KD18NA4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Corr'!$E$85:$E$282</c:f>
              <c:numCache>
                <c:formatCode>0</c:formatCode>
                <c:ptCount val="198"/>
                <c:pt idx="37">
                  <c:v>4460</c:v>
                </c:pt>
                <c:pt idx="38">
                  <c:v>4640</c:v>
                </c:pt>
                <c:pt idx="39">
                  <c:v>4820</c:v>
                </c:pt>
                <c:pt idx="40">
                  <c:v>5000</c:v>
                </c:pt>
                <c:pt idx="41">
                  <c:v>5180</c:v>
                </c:pt>
                <c:pt idx="42">
                  <c:v>5360</c:v>
                </c:pt>
                <c:pt idx="43">
                  <c:v>5540</c:v>
                </c:pt>
                <c:pt idx="44">
                  <c:v>5720</c:v>
                </c:pt>
                <c:pt idx="45">
                  <c:v>5900</c:v>
                </c:pt>
                <c:pt idx="46">
                  <c:v>6080</c:v>
                </c:pt>
                <c:pt idx="47">
                  <c:v>6260</c:v>
                </c:pt>
                <c:pt idx="48">
                  <c:v>6440</c:v>
                </c:pt>
                <c:pt idx="49">
                  <c:v>6620</c:v>
                </c:pt>
                <c:pt idx="50">
                  <c:v>6800</c:v>
                </c:pt>
                <c:pt idx="51">
                  <c:v>6980</c:v>
                </c:pt>
                <c:pt idx="52">
                  <c:v>7160</c:v>
                </c:pt>
                <c:pt idx="53">
                  <c:v>7340</c:v>
                </c:pt>
                <c:pt idx="54">
                  <c:v>7520</c:v>
                </c:pt>
                <c:pt idx="55">
                  <c:v>7700</c:v>
                </c:pt>
                <c:pt idx="56">
                  <c:v>7880</c:v>
                </c:pt>
                <c:pt idx="57">
                  <c:v>8060</c:v>
                </c:pt>
                <c:pt idx="58">
                  <c:v>8240</c:v>
                </c:pt>
                <c:pt idx="59">
                  <c:v>8420</c:v>
                </c:pt>
                <c:pt idx="60">
                  <c:v>8600</c:v>
                </c:pt>
                <c:pt idx="61">
                  <c:v>8780</c:v>
                </c:pt>
                <c:pt idx="62">
                  <c:v>8960</c:v>
                </c:pt>
                <c:pt idx="63">
                  <c:v>9140</c:v>
                </c:pt>
                <c:pt idx="64">
                  <c:v>9320</c:v>
                </c:pt>
                <c:pt idx="65" formatCode="General">
                  <c:v>9500</c:v>
                </c:pt>
                <c:pt idx="66">
                  <c:v>9650</c:v>
                </c:pt>
                <c:pt idx="67">
                  <c:v>9800</c:v>
                </c:pt>
                <c:pt idx="68">
                  <c:v>9950</c:v>
                </c:pt>
                <c:pt idx="69">
                  <c:v>10100</c:v>
                </c:pt>
                <c:pt idx="70">
                  <c:v>10250</c:v>
                </c:pt>
                <c:pt idx="71">
                  <c:v>10400</c:v>
                </c:pt>
                <c:pt idx="72">
                  <c:v>10550</c:v>
                </c:pt>
                <c:pt idx="73">
                  <c:v>10700</c:v>
                </c:pt>
                <c:pt idx="74">
                  <c:v>10850</c:v>
                </c:pt>
                <c:pt idx="75">
                  <c:v>11000</c:v>
                </c:pt>
                <c:pt idx="76">
                  <c:v>11150</c:v>
                </c:pt>
                <c:pt idx="77">
                  <c:v>11300</c:v>
                </c:pt>
                <c:pt idx="78">
                  <c:v>11450</c:v>
                </c:pt>
                <c:pt idx="79">
                  <c:v>11600</c:v>
                </c:pt>
                <c:pt idx="80">
                  <c:v>11750</c:v>
                </c:pt>
                <c:pt idx="81">
                  <c:v>11900</c:v>
                </c:pt>
                <c:pt idx="82">
                  <c:v>12050</c:v>
                </c:pt>
                <c:pt idx="83">
                  <c:v>12200</c:v>
                </c:pt>
                <c:pt idx="84">
                  <c:v>12350</c:v>
                </c:pt>
                <c:pt idx="85">
                  <c:v>12500</c:v>
                </c:pt>
                <c:pt idx="86">
                  <c:v>12650</c:v>
                </c:pt>
                <c:pt idx="87">
                  <c:v>12800</c:v>
                </c:pt>
                <c:pt idx="88">
                  <c:v>12950</c:v>
                </c:pt>
                <c:pt idx="89" formatCode="General">
                  <c:v>13100</c:v>
                </c:pt>
                <c:pt idx="90">
                  <c:v>13241.666666666666</c:v>
                </c:pt>
                <c:pt idx="91">
                  <c:v>13383.333333333332</c:v>
                </c:pt>
                <c:pt idx="92">
                  <c:v>13524.999999999998</c:v>
                </c:pt>
                <c:pt idx="93">
                  <c:v>13666.666666666664</c:v>
                </c:pt>
                <c:pt idx="94">
                  <c:v>13808.33333333333</c:v>
                </c:pt>
                <c:pt idx="95">
                  <c:v>13949.999999999996</c:v>
                </c:pt>
                <c:pt idx="96">
                  <c:v>14091.666666666662</c:v>
                </c:pt>
                <c:pt idx="97">
                  <c:v>14233.333333333328</c:v>
                </c:pt>
                <c:pt idx="98">
                  <c:v>14374.999999999995</c:v>
                </c:pt>
                <c:pt idx="99">
                  <c:v>14516.666666666661</c:v>
                </c:pt>
                <c:pt idx="100">
                  <c:v>14658.333333333327</c:v>
                </c:pt>
                <c:pt idx="101">
                  <c:v>14799.999999999993</c:v>
                </c:pt>
                <c:pt idx="102">
                  <c:v>14941.666666666659</c:v>
                </c:pt>
                <c:pt idx="103">
                  <c:v>15083.333333333325</c:v>
                </c:pt>
                <c:pt idx="104">
                  <c:v>15224.999999999991</c:v>
                </c:pt>
                <c:pt idx="105">
                  <c:v>15366.666666666657</c:v>
                </c:pt>
                <c:pt idx="106">
                  <c:v>15508.333333333323</c:v>
                </c:pt>
                <c:pt idx="107">
                  <c:v>15649.999999999989</c:v>
                </c:pt>
                <c:pt idx="108">
                  <c:v>15791.666666666655</c:v>
                </c:pt>
                <c:pt idx="109">
                  <c:v>15933.333333333321</c:v>
                </c:pt>
                <c:pt idx="110">
                  <c:v>16074.999999999987</c:v>
                </c:pt>
                <c:pt idx="111">
                  <c:v>16216.666666666653</c:v>
                </c:pt>
                <c:pt idx="112">
                  <c:v>16358.333333333319</c:v>
                </c:pt>
                <c:pt idx="113">
                  <c:v>16499.999999999985</c:v>
                </c:pt>
                <c:pt idx="114">
                  <c:v>16641.666666666653</c:v>
                </c:pt>
                <c:pt idx="115">
                  <c:v>16783.333333333321</c:v>
                </c:pt>
                <c:pt idx="116">
                  <c:v>16924.999999999989</c:v>
                </c:pt>
                <c:pt idx="117">
                  <c:v>17066.666666666657</c:v>
                </c:pt>
                <c:pt idx="118">
                  <c:v>17208.333333333325</c:v>
                </c:pt>
                <c:pt idx="119">
                  <c:v>17349.999999999993</c:v>
                </c:pt>
                <c:pt idx="120">
                  <c:v>17491.666666666661</c:v>
                </c:pt>
                <c:pt idx="121">
                  <c:v>17633.333333333328</c:v>
                </c:pt>
                <c:pt idx="122">
                  <c:v>17774.999999999996</c:v>
                </c:pt>
                <c:pt idx="123">
                  <c:v>17916.666666666664</c:v>
                </c:pt>
                <c:pt idx="124">
                  <c:v>18058.333333333332</c:v>
                </c:pt>
                <c:pt idx="125">
                  <c:v>18200</c:v>
                </c:pt>
                <c:pt idx="126">
                  <c:v>18341.666666666668</c:v>
                </c:pt>
                <c:pt idx="127">
                  <c:v>18483.333333333336</c:v>
                </c:pt>
                <c:pt idx="128">
                  <c:v>18625.000000000004</c:v>
                </c:pt>
                <c:pt idx="129">
                  <c:v>18766.666666666672</c:v>
                </c:pt>
                <c:pt idx="130">
                  <c:v>18908.333333333339</c:v>
                </c:pt>
                <c:pt idx="131">
                  <c:v>19050.000000000007</c:v>
                </c:pt>
                <c:pt idx="132">
                  <c:v>19191.666666666675</c:v>
                </c:pt>
                <c:pt idx="133">
                  <c:v>19333.333333333343</c:v>
                </c:pt>
                <c:pt idx="134">
                  <c:v>19475.000000000011</c:v>
                </c:pt>
                <c:pt idx="135">
                  <c:v>19616.666666666679</c:v>
                </c:pt>
                <c:pt idx="136">
                  <c:v>19758.333333333347</c:v>
                </c:pt>
                <c:pt idx="137">
                  <c:v>19900.000000000015</c:v>
                </c:pt>
                <c:pt idx="138">
                  <c:v>20041.666666666682</c:v>
                </c:pt>
                <c:pt idx="139">
                  <c:v>20183.33333333335</c:v>
                </c:pt>
                <c:pt idx="140">
                  <c:v>20325.000000000018</c:v>
                </c:pt>
                <c:pt idx="141">
                  <c:v>20466.666666666686</c:v>
                </c:pt>
                <c:pt idx="142">
                  <c:v>20608.333333333354</c:v>
                </c:pt>
                <c:pt idx="143">
                  <c:v>20750.000000000022</c:v>
                </c:pt>
                <c:pt idx="144">
                  <c:v>20891.66666666669</c:v>
                </c:pt>
                <c:pt idx="145">
                  <c:v>21033.333333333358</c:v>
                </c:pt>
                <c:pt idx="146">
                  <c:v>21175.000000000025</c:v>
                </c:pt>
                <c:pt idx="147">
                  <c:v>21316.666666666693</c:v>
                </c:pt>
                <c:pt idx="148">
                  <c:v>21458.333333333361</c:v>
                </c:pt>
                <c:pt idx="149" formatCode="General">
                  <c:v>21600</c:v>
                </c:pt>
                <c:pt idx="150">
                  <c:v>21670.833333333321</c:v>
                </c:pt>
                <c:pt idx="151">
                  <c:v>21741.666666666642</c:v>
                </c:pt>
                <c:pt idx="152">
                  <c:v>21812.499999999964</c:v>
                </c:pt>
                <c:pt idx="153">
                  <c:v>21883.333333333285</c:v>
                </c:pt>
                <c:pt idx="154">
                  <c:v>21954.166666666606</c:v>
                </c:pt>
                <c:pt idx="155">
                  <c:v>22024.999999999927</c:v>
                </c:pt>
                <c:pt idx="156">
                  <c:v>22095.833333333248</c:v>
                </c:pt>
                <c:pt idx="157">
                  <c:v>22166.66666666657</c:v>
                </c:pt>
                <c:pt idx="158">
                  <c:v>22237.499999999891</c:v>
                </c:pt>
                <c:pt idx="159">
                  <c:v>22308.333333333212</c:v>
                </c:pt>
                <c:pt idx="160">
                  <c:v>22379.166666666533</c:v>
                </c:pt>
                <c:pt idx="161">
                  <c:v>22449.999999999854</c:v>
                </c:pt>
                <c:pt idx="162">
                  <c:v>22520.833333333176</c:v>
                </c:pt>
                <c:pt idx="163">
                  <c:v>22591.666666666497</c:v>
                </c:pt>
                <c:pt idx="164">
                  <c:v>22662.499999999818</c:v>
                </c:pt>
                <c:pt idx="165">
                  <c:v>22733.333333333139</c:v>
                </c:pt>
                <c:pt idx="166">
                  <c:v>22804.166666666461</c:v>
                </c:pt>
                <c:pt idx="167">
                  <c:v>22874.999999999782</c:v>
                </c:pt>
                <c:pt idx="168">
                  <c:v>22945.833333333103</c:v>
                </c:pt>
                <c:pt idx="169">
                  <c:v>23016.666666666424</c:v>
                </c:pt>
                <c:pt idx="170">
                  <c:v>23087.499999999745</c:v>
                </c:pt>
                <c:pt idx="171">
                  <c:v>23158.333333333067</c:v>
                </c:pt>
                <c:pt idx="172">
                  <c:v>23229.166666666388</c:v>
                </c:pt>
                <c:pt idx="173">
                  <c:v>23299.999999999709</c:v>
                </c:pt>
                <c:pt idx="174">
                  <c:v>23370.83333333303</c:v>
                </c:pt>
                <c:pt idx="175">
                  <c:v>23441.666666666351</c:v>
                </c:pt>
                <c:pt idx="176">
                  <c:v>23512.499999999673</c:v>
                </c:pt>
                <c:pt idx="177">
                  <c:v>23583.333333332994</c:v>
                </c:pt>
                <c:pt idx="178">
                  <c:v>23654.166666666315</c:v>
                </c:pt>
                <c:pt idx="179">
                  <c:v>23724.999999999636</c:v>
                </c:pt>
                <c:pt idx="180">
                  <c:v>23795.833333332957</c:v>
                </c:pt>
                <c:pt idx="181">
                  <c:v>23866.666666666279</c:v>
                </c:pt>
                <c:pt idx="182">
                  <c:v>23937.4999999996</c:v>
                </c:pt>
                <c:pt idx="183">
                  <c:v>24008.333333332921</c:v>
                </c:pt>
                <c:pt idx="184">
                  <c:v>24079.166666666242</c:v>
                </c:pt>
                <c:pt idx="185">
                  <c:v>24149.999999999563</c:v>
                </c:pt>
                <c:pt idx="186">
                  <c:v>24220.833333332885</c:v>
                </c:pt>
                <c:pt idx="187">
                  <c:v>24291.666666666206</c:v>
                </c:pt>
                <c:pt idx="188">
                  <c:v>24362.499999999527</c:v>
                </c:pt>
                <c:pt idx="189">
                  <c:v>24433.333333332848</c:v>
                </c:pt>
                <c:pt idx="190">
                  <c:v>24504.166666666169</c:v>
                </c:pt>
                <c:pt idx="191">
                  <c:v>24574.999999999491</c:v>
                </c:pt>
                <c:pt idx="192">
                  <c:v>24645.833333332812</c:v>
                </c:pt>
                <c:pt idx="193">
                  <c:v>24716.666666666133</c:v>
                </c:pt>
                <c:pt idx="194">
                  <c:v>24787.499999999454</c:v>
                </c:pt>
                <c:pt idx="195">
                  <c:v>24858.333333332776</c:v>
                </c:pt>
                <c:pt idx="196">
                  <c:v>24929.166666666097</c:v>
                </c:pt>
                <c:pt idx="197">
                  <c:v>24999.999999999418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'Temp Corr'!$F$84</c:f>
              <c:strCache>
                <c:ptCount val="1"/>
                <c:pt idx="0">
                  <c:v>SUZ-KA09NA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Corr'!$F$85:$F$282</c:f>
              <c:numCache>
                <c:formatCode>0</c:formatCode>
                <c:ptCount val="198"/>
                <c:pt idx="37">
                  <c:v>2840.0000000000082</c:v>
                </c:pt>
                <c:pt idx="38">
                  <c:v>2910.0000000000077</c:v>
                </c:pt>
                <c:pt idx="39">
                  <c:v>2980.0000000000073</c:v>
                </c:pt>
                <c:pt idx="40">
                  <c:v>3050.0000000000068</c:v>
                </c:pt>
                <c:pt idx="41">
                  <c:v>3120.0000000000064</c:v>
                </c:pt>
                <c:pt idx="42">
                  <c:v>3190.0000000000059</c:v>
                </c:pt>
                <c:pt idx="43">
                  <c:v>3260.0000000000055</c:v>
                </c:pt>
                <c:pt idx="44">
                  <c:v>3330.000000000005</c:v>
                </c:pt>
                <c:pt idx="45">
                  <c:v>3400.0000000000045</c:v>
                </c:pt>
                <c:pt idx="46">
                  <c:v>3470.0000000000041</c:v>
                </c:pt>
                <c:pt idx="47">
                  <c:v>3540.0000000000036</c:v>
                </c:pt>
                <c:pt idx="48">
                  <c:v>3610.0000000000032</c:v>
                </c:pt>
                <c:pt idx="49">
                  <c:v>3680.0000000000027</c:v>
                </c:pt>
                <c:pt idx="50">
                  <c:v>3750.0000000000023</c:v>
                </c:pt>
                <c:pt idx="51">
                  <c:v>3820.0000000000018</c:v>
                </c:pt>
                <c:pt idx="52">
                  <c:v>3890.0000000000014</c:v>
                </c:pt>
                <c:pt idx="53">
                  <c:v>3960.0000000000009</c:v>
                </c:pt>
                <c:pt idx="54">
                  <c:v>4030.0000000000005</c:v>
                </c:pt>
                <c:pt idx="55">
                  <c:v>4100</c:v>
                </c:pt>
                <c:pt idx="56">
                  <c:v>4170</c:v>
                </c:pt>
                <c:pt idx="57">
                  <c:v>4240</c:v>
                </c:pt>
                <c:pt idx="58">
                  <c:v>4310</c:v>
                </c:pt>
                <c:pt idx="59">
                  <c:v>4380</c:v>
                </c:pt>
                <c:pt idx="60">
                  <c:v>4450</c:v>
                </c:pt>
                <c:pt idx="61">
                  <c:v>4520</c:v>
                </c:pt>
                <c:pt idx="62">
                  <c:v>4590</c:v>
                </c:pt>
                <c:pt idx="63">
                  <c:v>4660</c:v>
                </c:pt>
                <c:pt idx="64">
                  <c:v>4730</c:v>
                </c:pt>
                <c:pt idx="65" formatCode="General">
                  <c:v>4800</c:v>
                </c:pt>
                <c:pt idx="66">
                  <c:v>4858.333333333333</c:v>
                </c:pt>
                <c:pt idx="67">
                  <c:v>4916.6666666666661</c:v>
                </c:pt>
                <c:pt idx="68">
                  <c:v>4974.9999999999991</c:v>
                </c:pt>
                <c:pt idx="69">
                  <c:v>5033.3333333333321</c:v>
                </c:pt>
                <c:pt idx="70">
                  <c:v>5091.6666666666652</c:v>
                </c:pt>
                <c:pt idx="71">
                  <c:v>5149.9999999999982</c:v>
                </c:pt>
                <c:pt idx="72">
                  <c:v>5208.3333333333312</c:v>
                </c:pt>
                <c:pt idx="73">
                  <c:v>5266.6666666666642</c:v>
                </c:pt>
                <c:pt idx="74">
                  <c:v>5324.9999999999973</c:v>
                </c:pt>
                <c:pt idx="75">
                  <c:v>5383.3333333333303</c:v>
                </c:pt>
                <c:pt idx="76">
                  <c:v>5441.6666666666633</c:v>
                </c:pt>
                <c:pt idx="77">
                  <c:v>5499.9999999999964</c:v>
                </c:pt>
                <c:pt idx="78">
                  <c:v>5558.3333333333294</c:v>
                </c:pt>
                <c:pt idx="79">
                  <c:v>5616.6666666666624</c:v>
                </c:pt>
                <c:pt idx="80">
                  <c:v>5674.9999999999955</c:v>
                </c:pt>
                <c:pt idx="81">
                  <c:v>5733.3333333333285</c:v>
                </c:pt>
                <c:pt idx="82">
                  <c:v>5791.6666666666615</c:v>
                </c:pt>
                <c:pt idx="83">
                  <c:v>5849.9999999999945</c:v>
                </c:pt>
                <c:pt idx="84">
                  <c:v>5908.3333333333276</c:v>
                </c:pt>
                <c:pt idx="85">
                  <c:v>5966.6666666666606</c:v>
                </c:pt>
                <c:pt idx="86">
                  <c:v>6024.9999999999936</c:v>
                </c:pt>
                <c:pt idx="87">
                  <c:v>6083.3333333333267</c:v>
                </c:pt>
                <c:pt idx="88">
                  <c:v>6141.6666666666597</c:v>
                </c:pt>
                <c:pt idx="89" formatCode="General">
                  <c:v>6200</c:v>
                </c:pt>
                <c:pt idx="90">
                  <c:v>6278.333333333333</c:v>
                </c:pt>
                <c:pt idx="91">
                  <c:v>6356.6666666666661</c:v>
                </c:pt>
                <c:pt idx="92">
                  <c:v>6434.9999999999991</c:v>
                </c:pt>
                <c:pt idx="93">
                  <c:v>6513.3333333333321</c:v>
                </c:pt>
                <c:pt idx="94">
                  <c:v>6591.6666666666652</c:v>
                </c:pt>
                <c:pt idx="95">
                  <c:v>6669.9999999999982</c:v>
                </c:pt>
                <c:pt idx="96">
                  <c:v>6748.3333333333312</c:v>
                </c:pt>
                <c:pt idx="97">
                  <c:v>6826.6666666666642</c:v>
                </c:pt>
                <c:pt idx="98">
                  <c:v>6904.9999999999973</c:v>
                </c:pt>
                <c:pt idx="99">
                  <c:v>6983.3333333333303</c:v>
                </c:pt>
                <c:pt idx="100">
                  <c:v>7061.6666666666633</c:v>
                </c:pt>
                <c:pt idx="101">
                  <c:v>7139.9999999999964</c:v>
                </c:pt>
                <c:pt idx="102">
                  <c:v>7218.3333333333294</c:v>
                </c:pt>
                <c:pt idx="103">
                  <c:v>7296.6666666666624</c:v>
                </c:pt>
                <c:pt idx="104">
                  <c:v>7374.9999999999955</c:v>
                </c:pt>
                <c:pt idx="105">
                  <c:v>7453.3333333333285</c:v>
                </c:pt>
                <c:pt idx="106">
                  <c:v>7531.6666666666615</c:v>
                </c:pt>
                <c:pt idx="107">
                  <c:v>7609.9999999999945</c:v>
                </c:pt>
                <c:pt idx="108">
                  <c:v>7688.3333333333276</c:v>
                </c:pt>
                <c:pt idx="109">
                  <c:v>7766.6666666666606</c:v>
                </c:pt>
                <c:pt idx="110">
                  <c:v>7844.9999999999936</c:v>
                </c:pt>
                <c:pt idx="111">
                  <c:v>7923.3333333333267</c:v>
                </c:pt>
                <c:pt idx="112">
                  <c:v>8001.6666666666597</c:v>
                </c:pt>
                <c:pt idx="113">
                  <c:v>8079.9999999999927</c:v>
                </c:pt>
                <c:pt idx="114">
                  <c:v>8158.3333333333258</c:v>
                </c:pt>
                <c:pt idx="115">
                  <c:v>8236.6666666666588</c:v>
                </c:pt>
                <c:pt idx="116">
                  <c:v>8314.9999999999927</c:v>
                </c:pt>
                <c:pt idx="117">
                  <c:v>8393.3333333333267</c:v>
                </c:pt>
                <c:pt idx="118">
                  <c:v>8471.6666666666606</c:v>
                </c:pt>
                <c:pt idx="119">
                  <c:v>8549.9999999999945</c:v>
                </c:pt>
                <c:pt idx="120">
                  <c:v>8628.3333333333285</c:v>
                </c:pt>
                <c:pt idx="121">
                  <c:v>8706.6666666666624</c:v>
                </c:pt>
                <c:pt idx="122">
                  <c:v>8784.9999999999964</c:v>
                </c:pt>
                <c:pt idx="123">
                  <c:v>8863.3333333333303</c:v>
                </c:pt>
                <c:pt idx="124">
                  <c:v>8941.6666666666642</c:v>
                </c:pt>
                <c:pt idx="125">
                  <c:v>9019.9999999999982</c:v>
                </c:pt>
                <c:pt idx="126">
                  <c:v>9098.3333333333321</c:v>
                </c:pt>
                <c:pt idx="127">
                  <c:v>9176.6666666666661</c:v>
                </c:pt>
                <c:pt idx="128">
                  <c:v>9255</c:v>
                </c:pt>
                <c:pt idx="129">
                  <c:v>9333.3333333333339</c:v>
                </c:pt>
                <c:pt idx="130">
                  <c:v>9411.6666666666679</c:v>
                </c:pt>
                <c:pt idx="131">
                  <c:v>9490.0000000000018</c:v>
                </c:pt>
                <c:pt idx="132">
                  <c:v>9568.3333333333358</c:v>
                </c:pt>
                <c:pt idx="133">
                  <c:v>9646.6666666666697</c:v>
                </c:pt>
                <c:pt idx="134">
                  <c:v>9725.0000000000036</c:v>
                </c:pt>
                <c:pt idx="135">
                  <c:v>9803.3333333333376</c:v>
                </c:pt>
                <c:pt idx="136">
                  <c:v>9881.6666666666715</c:v>
                </c:pt>
                <c:pt idx="137">
                  <c:v>9960.0000000000055</c:v>
                </c:pt>
                <c:pt idx="138">
                  <c:v>10038.333333333339</c:v>
                </c:pt>
                <c:pt idx="139">
                  <c:v>10116.666666666673</c:v>
                </c:pt>
                <c:pt idx="140">
                  <c:v>10195.000000000007</c:v>
                </c:pt>
                <c:pt idx="141">
                  <c:v>10273.333333333341</c:v>
                </c:pt>
                <c:pt idx="142">
                  <c:v>10351.666666666675</c:v>
                </c:pt>
                <c:pt idx="143">
                  <c:v>10430.000000000009</c:v>
                </c:pt>
                <c:pt idx="144">
                  <c:v>10508.333333333343</c:v>
                </c:pt>
                <c:pt idx="145">
                  <c:v>10586.666666666677</c:v>
                </c:pt>
                <c:pt idx="146">
                  <c:v>10665.000000000011</c:v>
                </c:pt>
                <c:pt idx="147">
                  <c:v>10743.333333333345</c:v>
                </c:pt>
                <c:pt idx="148">
                  <c:v>10821.666666666679</c:v>
                </c:pt>
                <c:pt idx="149" formatCode="General">
                  <c:v>10900</c:v>
                </c:pt>
                <c:pt idx="150">
                  <c:v>10939.166666666661</c:v>
                </c:pt>
                <c:pt idx="151">
                  <c:v>10978.333333333321</c:v>
                </c:pt>
                <c:pt idx="152">
                  <c:v>11017.499999999982</c:v>
                </c:pt>
                <c:pt idx="153">
                  <c:v>11056.666666666642</c:v>
                </c:pt>
                <c:pt idx="154">
                  <c:v>11095.833333333303</c:v>
                </c:pt>
                <c:pt idx="155">
                  <c:v>11134.999999999964</c:v>
                </c:pt>
                <c:pt idx="156">
                  <c:v>11174.166666666624</c:v>
                </c:pt>
                <c:pt idx="157">
                  <c:v>11213.333333333285</c:v>
                </c:pt>
                <c:pt idx="158">
                  <c:v>11252.499999999945</c:v>
                </c:pt>
                <c:pt idx="159">
                  <c:v>11291.666666666606</c:v>
                </c:pt>
                <c:pt idx="160">
                  <c:v>11330.833333333267</c:v>
                </c:pt>
                <c:pt idx="161">
                  <c:v>11369.999999999927</c:v>
                </c:pt>
                <c:pt idx="162">
                  <c:v>11409.166666666588</c:v>
                </c:pt>
                <c:pt idx="163">
                  <c:v>11448.333333333248</c:v>
                </c:pt>
                <c:pt idx="164">
                  <c:v>11487.499999999909</c:v>
                </c:pt>
                <c:pt idx="165">
                  <c:v>11526.66666666657</c:v>
                </c:pt>
                <c:pt idx="166">
                  <c:v>11565.83333333323</c:v>
                </c:pt>
                <c:pt idx="167">
                  <c:v>11604.999999999891</c:v>
                </c:pt>
                <c:pt idx="168">
                  <c:v>11644.166666666551</c:v>
                </c:pt>
                <c:pt idx="169">
                  <c:v>11683.333333333212</c:v>
                </c:pt>
                <c:pt idx="170">
                  <c:v>11722.499999999873</c:v>
                </c:pt>
                <c:pt idx="171">
                  <c:v>11761.666666666533</c:v>
                </c:pt>
                <c:pt idx="172">
                  <c:v>11800.833333333194</c:v>
                </c:pt>
                <c:pt idx="173">
                  <c:v>11839.999999999854</c:v>
                </c:pt>
                <c:pt idx="174">
                  <c:v>11879.166666666515</c:v>
                </c:pt>
                <c:pt idx="175">
                  <c:v>11918.333333333176</c:v>
                </c:pt>
                <c:pt idx="176">
                  <c:v>11957.499999999836</c:v>
                </c:pt>
                <c:pt idx="177">
                  <c:v>11996.666666666497</c:v>
                </c:pt>
                <c:pt idx="178">
                  <c:v>12035.833333333157</c:v>
                </c:pt>
                <c:pt idx="179">
                  <c:v>12074.999999999818</c:v>
                </c:pt>
                <c:pt idx="180">
                  <c:v>12114.166666666479</c:v>
                </c:pt>
                <c:pt idx="181">
                  <c:v>12153.333333333139</c:v>
                </c:pt>
                <c:pt idx="182">
                  <c:v>12192.4999999998</c:v>
                </c:pt>
                <c:pt idx="183">
                  <c:v>12231.666666666461</c:v>
                </c:pt>
                <c:pt idx="184">
                  <c:v>12270.833333333121</c:v>
                </c:pt>
                <c:pt idx="185">
                  <c:v>12309.999999999782</c:v>
                </c:pt>
                <c:pt idx="186">
                  <c:v>12349.166666666442</c:v>
                </c:pt>
                <c:pt idx="187">
                  <c:v>12388.333333333103</c:v>
                </c:pt>
                <c:pt idx="188">
                  <c:v>12427.499999999764</c:v>
                </c:pt>
                <c:pt idx="189">
                  <c:v>12466.666666666424</c:v>
                </c:pt>
                <c:pt idx="190">
                  <c:v>12505.833333333085</c:v>
                </c:pt>
                <c:pt idx="191">
                  <c:v>12544.999999999745</c:v>
                </c:pt>
                <c:pt idx="192">
                  <c:v>12584.166666666406</c:v>
                </c:pt>
                <c:pt idx="193">
                  <c:v>12623.333333333067</c:v>
                </c:pt>
                <c:pt idx="194">
                  <c:v>12662.499999999727</c:v>
                </c:pt>
                <c:pt idx="195">
                  <c:v>12701.666666666388</c:v>
                </c:pt>
                <c:pt idx="196">
                  <c:v>12740.833333333048</c:v>
                </c:pt>
                <c:pt idx="197">
                  <c:v>12779.999999999709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'Temp Corr'!$G$84</c:f>
              <c:strCache>
                <c:ptCount val="1"/>
                <c:pt idx="0">
                  <c:v>SUZ-KA12NA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Corr'!$G$85:$G$282</c:f>
              <c:numCache>
                <c:formatCode>0</c:formatCode>
                <c:ptCount val="198"/>
                <c:pt idx="37">
                  <c:v>2780.0000000000055</c:v>
                </c:pt>
                <c:pt idx="38">
                  <c:v>2895.000000000005</c:v>
                </c:pt>
                <c:pt idx="39">
                  <c:v>3010.0000000000045</c:v>
                </c:pt>
                <c:pt idx="40">
                  <c:v>3125.0000000000041</c:v>
                </c:pt>
                <c:pt idx="41">
                  <c:v>3240.0000000000036</c:v>
                </c:pt>
                <c:pt idx="42">
                  <c:v>3355.0000000000032</c:v>
                </c:pt>
                <c:pt idx="43">
                  <c:v>3470.0000000000027</c:v>
                </c:pt>
                <c:pt idx="44">
                  <c:v>3585.0000000000023</c:v>
                </c:pt>
                <c:pt idx="45">
                  <c:v>3700.0000000000018</c:v>
                </c:pt>
                <c:pt idx="46">
                  <c:v>3815.0000000000014</c:v>
                </c:pt>
                <c:pt idx="47">
                  <c:v>3930.0000000000009</c:v>
                </c:pt>
                <c:pt idx="48">
                  <c:v>4045.0000000000005</c:v>
                </c:pt>
                <c:pt idx="49">
                  <c:v>4160</c:v>
                </c:pt>
                <c:pt idx="50">
                  <c:v>4275</c:v>
                </c:pt>
                <c:pt idx="51">
                  <c:v>4390</c:v>
                </c:pt>
                <c:pt idx="52">
                  <c:v>4505</c:v>
                </c:pt>
                <c:pt idx="53">
                  <c:v>4620</c:v>
                </c:pt>
                <c:pt idx="54">
                  <c:v>4735</c:v>
                </c:pt>
                <c:pt idx="55">
                  <c:v>4850</c:v>
                </c:pt>
                <c:pt idx="56">
                  <c:v>4965</c:v>
                </c:pt>
                <c:pt idx="57">
                  <c:v>5080</c:v>
                </c:pt>
                <c:pt idx="58">
                  <c:v>5195</c:v>
                </c:pt>
                <c:pt idx="59">
                  <c:v>5310</c:v>
                </c:pt>
                <c:pt idx="60">
                  <c:v>5425</c:v>
                </c:pt>
                <c:pt idx="61">
                  <c:v>5540</c:v>
                </c:pt>
                <c:pt idx="62">
                  <c:v>5655</c:v>
                </c:pt>
                <c:pt idx="63">
                  <c:v>5770</c:v>
                </c:pt>
                <c:pt idx="64">
                  <c:v>5885</c:v>
                </c:pt>
                <c:pt idx="65" formatCode="General">
                  <c:v>6000</c:v>
                </c:pt>
                <c:pt idx="66">
                  <c:v>6095.833333333333</c:v>
                </c:pt>
                <c:pt idx="67">
                  <c:v>6191.6666666666661</c:v>
                </c:pt>
                <c:pt idx="68">
                  <c:v>6287.4999999999991</c:v>
                </c:pt>
                <c:pt idx="69">
                  <c:v>6383.3333333333321</c:v>
                </c:pt>
                <c:pt idx="70">
                  <c:v>6479.1666666666652</c:v>
                </c:pt>
                <c:pt idx="71">
                  <c:v>6574.9999999999982</c:v>
                </c:pt>
                <c:pt idx="72">
                  <c:v>6670.8333333333312</c:v>
                </c:pt>
                <c:pt idx="73">
                  <c:v>6766.6666666666642</c:v>
                </c:pt>
                <c:pt idx="74">
                  <c:v>6862.4999999999973</c:v>
                </c:pt>
                <c:pt idx="75">
                  <c:v>6958.3333333333303</c:v>
                </c:pt>
                <c:pt idx="76">
                  <c:v>7054.1666666666633</c:v>
                </c:pt>
                <c:pt idx="77">
                  <c:v>7149.9999999999964</c:v>
                </c:pt>
                <c:pt idx="78">
                  <c:v>7245.8333333333294</c:v>
                </c:pt>
                <c:pt idx="79">
                  <c:v>7341.6666666666624</c:v>
                </c:pt>
                <c:pt idx="80">
                  <c:v>7437.4999999999955</c:v>
                </c:pt>
                <c:pt idx="81">
                  <c:v>7533.3333333333285</c:v>
                </c:pt>
                <c:pt idx="82">
                  <c:v>7629.1666666666615</c:v>
                </c:pt>
                <c:pt idx="83">
                  <c:v>7724.9999999999945</c:v>
                </c:pt>
                <c:pt idx="84">
                  <c:v>7820.8333333333276</c:v>
                </c:pt>
                <c:pt idx="85">
                  <c:v>7916.6666666666606</c:v>
                </c:pt>
                <c:pt idx="86">
                  <c:v>8012.4999999999936</c:v>
                </c:pt>
                <c:pt idx="87">
                  <c:v>8108.3333333333267</c:v>
                </c:pt>
                <c:pt idx="88">
                  <c:v>8204.1666666666606</c:v>
                </c:pt>
                <c:pt idx="89" formatCode="General">
                  <c:v>8300</c:v>
                </c:pt>
                <c:pt idx="90">
                  <c:v>8388.3333333333339</c:v>
                </c:pt>
                <c:pt idx="91">
                  <c:v>8476.6666666666679</c:v>
                </c:pt>
                <c:pt idx="92">
                  <c:v>8565.0000000000018</c:v>
                </c:pt>
                <c:pt idx="93">
                  <c:v>8653.3333333333358</c:v>
                </c:pt>
                <c:pt idx="94">
                  <c:v>8741.6666666666697</c:v>
                </c:pt>
                <c:pt idx="95">
                  <c:v>8830.0000000000036</c:v>
                </c:pt>
                <c:pt idx="96">
                  <c:v>8918.3333333333376</c:v>
                </c:pt>
                <c:pt idx="97">
                  <c:v>9006.6666666666715</c:v>
                </c:pt>
                <c:pt idx="98">
                  <c:v>9095.0000000000055</c:v>
                </c:pt>
                <c:pt idx="99">
                  <c:v>9183.3333333333394</c:v>
                </c:pt>
                <c:pt idx="100">
                  <c:v>9271.6666666666733</c:v>
                </c:pt>
                <c:pt idx="101">
                  <c:v>9360.0000000000073</c:v>
                </c:pt>
                <c:pt idx="102">
                  <c:v>9448.3333333333412</c:v>
                </c:pt>
                <c:pt idx="103">
                  <c:v>9536.6666666666752</c:v>
                </c:pt>
                <c:pt idx="104">
                  <c:v>9625.0000000000091</c:v>
                </c:pt>
                <c:pt idx="105">
                  <c:v>9713.333333333343</c:v>
                </c:pt>
                <c:pt idx="106">
                  <c:v>9801.666666666677</c:v>
                </c:pt>
                <c:pt idx="107">
                  <c:v>9890.0000000000109</c:v>
                </c:pt>
                <c:pt idx="108">
                  <c:v>9978.3333333333449</c:v>
                </c:pt>
                <c:pt idx="109">
                  <c:v>10066.666666666679</c:v>
                </c:pt>
                <c:pt idx="110">
                  <c:v>10155.000000000013</c:v>
                </c:pt>
                <c:pt idx="111">
                  <c:v>10243.333333333347</c:v>
                </c:pt>
                <c:pt idx="112">
                  <c:v>10331.666666666681</c:v>
                </c:pt>
                <c:pt idx="113">
                  <c:v>10420.000000000015</c:v>
                </c:pt>
                <c:pt idx="114">
                  <c:v>10508.333333333348</c:v>
                </c:pt>
                <c:pt idx="115">
                  <c:v>10596.666666666682</c:v>
                </c:pt>
                <c:pt idx="116">
                  <c:v>10685.000000000016</c:v>
                </c:pt>
                <c:pt idx="117">
                  <c:v>10773.33333333335</c:v>
                </c:pt>
                <c:pt idx="118">
                  <c:v>10861.666666666684</c:v>
                </c:pt>
                <c:pt idx="119">
                  <c:v>10950.000000000018</c:v>
                </c:pt>
                <c:pt idx="120">
                  <c:v>11038.333333333352</c:v>
                </c:pt>
                <c:pt idx="121">
                  <c:v>11126.666666666686</c:v>
                </c:pt>
                <c:pt idx="122">
                  <c:v>11215.00000000002</c:v>
                </c:pt>
                <c:pt idx="123">
                  <c:v>11303.333333333354</c:v>
                </c:pt>
                <c:pt idx="124">
                  <c:v>11391.666666666688</c:v>
                </c:pt>
                <c:pt idx="125">
                  <c:v>11480.000000000022</c:v>
                </c:pt>
                <c:pt idx="126">
                  <c:v>11568.333333333356</c:v>
                </c:pt>
                <c:pt idx="127">
                  <c:v>11656.66666666669</c:v>
                </c:pt>
                <c:pt idx="128">
                  <c:v>11745.000000000024</c:v>
                </c:pt>
                <c:pt idx="129">
                  <c:v>11833.333333333358</c:v>
                </c:pt>
                <c:pt idx="130">
                  <c:v>11921.666666666692</c:v>
                </c:pt>
                <c:pt idx="131">
                  <c:v>12010.000000000025</c:v>
                </c:pt>
                <c:pt idx="132">
                  <c:v>12098.333333333359</c:v>
                </c:pt>
                <c:pt idx="133">
                  <c:v>12186.666666666693</c:v>
                </c:pt>
                <c:pt idx="134">
                  <c:v>12275.000000000027</c:v>
                </c:pt>
                <c:pt idx="135">
                  <c:v>12363.333333333361</c:v>
                </c:pt>
                <c:pt idx="136">
                  <c:v>12451.666666666695</c:v>
                </c:pt>
                <c:pt idx="137">
                  <c:v>12540.000000000029</c:v>
                </c:pt>
                <c:pt idx="138">
                  <c:v>12628.333333333363</c:v>
                </c:pt>
                <c:pt idx="139">
                  <c:v>12716.666666666697</c:v>
                </c:pt>
                <c:pt idx="140">
                  <c:v>12805.000000000031</c:v>
                </c:pt>
                <c:pt idx="141">
                  <c:v>12893.333333333365</c:v>
                </c:pt>
                <c:pt idx="142">
                  <c:v>12981.666666666699</c:v>
                </c:pt>
                <c:pt idx="143">
                  <c:v>13070.000000000033</c:v>
                </c:pt>
                <c:pt idx="144">
                  <c:v>13158.333333333367</c:v>
                </c:pt>
                <c:pt idx="145">
                  <c:v>13246.666666666701</c:v>
                </c:pt>
                <c:pt idx="146">
                  <c:v>13335.000000000035</c:v>
                </c:pt>
                <c:pt idx="147">
                  <c:v>13423.333333333369</c:v>
                </c:pt>
                <c:pt idx="148">
                  <c:v>13511.666666666702</c:v>
                </c:pt>
                <c:pt idx="149" formatCode="General">
                  <c:v>13600</c:v>
                </c:pt>
                <c:pt idx="150">
                  <c:v>13644.16666666665</c:v>
                </c:pt>
                <c:pt idx="151">
                  <c:v>13688.333333333299</c:v>
                </c:pt>
                <c:pt idx="152">
                  <c:v>13732.499999999949</c:v>
                </c:pt>
                <c:pt idx="153">
                  <c:v>13776.666666666599</c:v>
                </c:pt>
                <c:pt idx="154">
                  <c:v>13820.833333333248</c:v>
                </c:pt>
                <c:pt idx="155">
                  <c:v>13864.999999999898</c:v>
                </c:pt>
                <c:pt idx="156">
                  <c:v>13909.166666666548</c:v>
                </c:pt>
                <c:pt idx="157">
                  <c:v>13953.333333333198</c:v>
                </c:pt>
                <c:pt idx="158">
                  <c:v>13997.499999999847</c:v>
                </c:pt>
                <c:pt idx="159">
                  <c:v>14041.666666666497</c:v>
                </c:pt>
                <c:pt idx="160">
                  <c:v>14085.833333333147</c:v>
                </c:pt>
                <c:pt idx="161">
                  <c:v>14129.999999999796</c:v>
                </c:pt>
                <c:pt idx="162">
                  <c:v>14174.166666666446</c:v>
                </c:pt>
                <c:pt idx="163">
                  <c:v>14218.333333333096</c:v>
                </c:pt>
                <c:pt idx="164">
                  <c:v>14262.499999999745</c:v>
                </c:pt>
                <c:pt idx="165">
                  <c:v>14306.666666666395</c:v>
                </c:pt>
                <c:pt idx="166">
                  <c:v>14350.833333333045</c:v>
                </c:pt>
                <c:pt idx="167">
                  <c:v>14394.999999999694</c:v>
                </c:pt>
                <c:pt idx="168">
                  <c:v>14439.166666666344</c:v>
                </c:pt>
                <c:pt idx="169">
                  <c:v>14483.333333332994</c:v>
                </c:pt>
                <c:pt idx="170">
                  <c:v>14527.499999999643</c:v>
                </c:pt>
                <c:pt idx="171">
                  <c:v>14571.666666666293</c:v>
                </c:pt>
                <c:pt idx="172">
                  <c:v>14615.833333332943</c:v>
                </c:pt>
                <c:pt idx="173">
                  <c:v>14659.999999999593</c:v>
                </c:pt>
                <c:pt idx="174">
                  <c:v>14704.166666666242</c:v>
                </c:pt>
                <c:pt idx="175">
                  <c:v>14748.333333332892</c:v>
                </c:pt>
                <c:pt idx="176">
                  <c:v>14792.499999999542</c:v>
                </c:pt>
                <c:pt idx="177">
                  <c:v>14836.666666666191</c:v>
                </c:pt>
                <c:pt idx="178">
                  <c:v>14880.833333332841</c:v>
                </c:pt>
                <c:pt idx="179">
                  <c:v>14924.999999999491</c:v>
                </c:pt>
                <c:pt idx="180">
                  <c:v>14969.16666666614</c:v>
                </c:pt>
                <c:pt idx="181">
                  <c:v>15013.33333333279</c:v>
                </c:pt>
                <c:pt idx="182">
                  <c:v>15057.49999999944</c:v>
                </c:pt>
                <c:pt idx="183">
                  <c:v>15101.666666666089</c:v>
                </c:pt>
                <c:pt idx="184">
                  <c:v>15145.833333332739</c:v>
                </c:pt>
                <c:pt idx="185">
                  <c:v>15189.999999999389</c:v>
                </c:pt>
                <c:pt idx="186">
                  <c:v>15234.166666666039</c:v>
                </c:pt>
                <c:pt idx="187">
                  <c:v>15278.333333332688</c:v>
                </c:pt>
                <c:pt idx="188">
                  <c:v>15322.499999999338</c:v>
                </c:pt>
                <c:pt idx="189">
                  <c:v>15366.666666665988</c:v>
                </c:pt>
                <c:pt idx="190">
                  <c:v>15410.833333332637</c:v>
                </c:pt>
                <c:pt idx="191">
                  <c:v>15454.999999999287</c:v>
                </c:pt>
                <c:pt idx="192">
                  <c:v>15499.166666665937</c:v>
                </c:pt>
                <c:pt idx="193">
                  <c:v>15543.333333332586</c:v>
                </c:pt>
                <c:pt idx="194">
                  <c:v>15587.499999999236</c:v>
                </c:pt>
                <c:pt idx="195">
                  <c:v>15631.666666665886</c:v>
                </c:pt>
                <c:pt idx="196">
                  <c:v>15675.833333332535</c:v>
                </c:pt>
                <c:pt idx="197">
                  <c:v>15719.999999999185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'Temp Corr'!$H$84</c:f>
              <c:strCache>
                <c:ptCount val="1"/>
                <c:pt idx="0">
                  <c:v>SUZ-KA15NA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Corr'!$H$85:$H$282</c:f>
              <c:numCache>
                <c:formatCode>0</c:formatCode>
                <c:ptCount val="198"/>
                <c:pt idx="37">
                  <c:v>2160.0000000000045</c:v>
                </c:pt>
                <c:pt idx="38">
                  <c:v>2365.0000000000041</c:v>
                </c:pt>
                <c:pt idx="39">
                  <c:v>2570.0000000000036</c:v>
                </c:pt>
                <c:pt idx="40">
                  <c:v>2775.0000000000032</c:v>
                </c:pt>
                <c:pt idx="41">
                  <c:v>2980.0000000000027</c:v>
                </c:pt>
                <c:pt idx="42">
                  <c:v>3185.0000000000023</c:v>
                </c:pt>
                <c:pt idx="43">
                  <c:v>3390.0000000000018</c:v>
                </c:pt>
                <c:pt idx="44">
                  <c:v>3595.0000000000014</c:v>
                </c:pt>
                <c:pt idx="45">
                  <c:v>3800.0000000000009</c:v>
                </c:pt>
                <c:pt idx="46">
                  <c:v>4005.0000000000005</c:v>
                </c:pt>
                <c:pt idx="47">
                  <c:v>4210</c:v>
                </c:pt>
                <c:pt idx="48">
                  <c:v>4415</c:v>
                </c:pt>
                <c:pt idx="49">
                  <c:v>4620</c:v>
                </c:pt>
                <c:pt idx="50">
                  <c:v>4825</c:v>
                </c:pt>
                <c:pt idx="51">
                  <c:v>5030</c:v>
                </c:pt>
                <c:pt idx="52">
                  <c:v>5235</c:v>
                </c:pt>
                <c:pt idx="53">
                  <c:v>5440</c:v>
                </c:pt>
                <c:pt idx="54">
                  <c:v>5645</c:v>
                </c:pt>
                <c:pt idx="55">
                  <c:v>5850</c:v>
                </c:pt>
                <c:pt idx="56">
                  <c:v>6055</c:v>
                </c:pt>
                <c:pt idx="57">
                  <c:v>6260</c:v>
                </c:pt>
                <c:pt idx="58">
                  <c:v>6465</c:v>
                </c:pt>
                <c:pt idx="59">
                  <c:v>6670</c:v>
                </c:pt>
                <c:pt idx="60">
                  <c:v>6875</c:v>
                </c:pt>
                <c:pt idx="61">
                  <c:v>7080</c:v>
                </c:pt>
                <c:pt idx="62">
                  <c:v>7285</c:v>
                </c:pt>
                <c:pt idx="63">
                  <c:v>7490</c:v>
                </c:pt>
                <c:pt idx="64">
                  <c:v>7695</c:v>
                </c:pt>
                <c:pt idx="65" formatCode="General">
                  <c:v>7900</c:v>
                </c:pt>
                <c:pt idx="66">
                  <c:v>8070.833333333333</c:v>
                </c:pt>
                <c:pt idx="67">
                  <c:v>8241.6666666666661</c:v>
                </c:pt>
                <c:pt idx="68">
                  <c:v>8412.5</c:v>
                </c:pt>
                <c:pt idx="69">
                  <c:v>8583.3333333333339</c:v>
                </c:pt>
                <c:pt idx="70">
                  <c:v>8754.1666666666679</c:v>
                </c:pt>
                <c:pt idx="71">
                  <c:v>8925.0000000000018</c:v>
                </c:pt>
                <c:pt idx="72">
                  <c:v>9095.8333333333358</c:v>
                </c:pt>
                <c:pt idx="73">
                  <c:v>9266.6666666666697</c:v>
                </c:pt>
                <c:pt idx="74">
                  <c:v>9437.5000000000036</c:v>
                </c:pt>
                <c:pt idx="75">
                  <c:v>9608.3333333333376</c:v>
                </c:pt>
                <c:pt idx="76">
                  <c:v>9779.1666666666715</c:v>
                </c:pt>
                <c:pt idx="77">
                  <c:v>9950.0000000000055</c:v>
                </c:pt>
                <c:pt idx="78">
                  <c:v>10120.833333333339</c:v>
                </c:pt>
                <c:pt idx="79">
                  <c:v>10291.666666666673</c:v>
                </c:pt>
                <c:pt idx="80">
                  <c:v>10462.500000000007</c:v>
                </c:pt>
                <c:pt idx="81">
                  <c:v>10633.333333333341</c:v>
                </c:pt>
                <c:pt idx="82">
                  <c:v>10804.166666666675</c:v>
                </c:pt>
                <c:pt idx="83">
                  <c:v>10975.000000000009</c:v>
                </c:pt>
                <c:pt idx="84">
                  <c:v>11145.833333333343</c:v>
                </c:pt>
                <c:pt idx="85">
                  <c:v>11316.666666666677</c:v>
                </c:pt>
                <c:pt idx="86">
                  <c:v>11487.500000000011</c:v>
                </c:pt>
                <c:pt idx="87">
                  <c:v>11658.333333333345</c:v>
                </c:pt>
                <c:pt idx="88">
                  <c:v>11829.166666666679</c:v>
                </c:pt>
                <c:pt idx="89" formatCode="General">
                  <c:v>12000</c:v>
                </c:pt>
                <c:pt idx="90">
                  <c:v>12100</c:v>
                </c:pt>
                <c:pt idx="91">
                  <c:v>12200</c:v>
                </c:pt>
                <c:pt idx="92">
                  <c:v>12300</c:v>
                </c:pt>
                <c:pt idx="93">
                  <c:v>12400</c:v>
                </c:pt>
                <c:pt idx="94">
                  <c:v>12500</c:v>
                </c:pt>
                <c:pt idx="95">
                  <c:v>12600</c:v>
                </c:pt>
                <c:pt idx="96">
                  <c:v>12700</c:v>
                </c:pt>
                <c:pt idx="97">
                  <c:v>12800</c:v>
                </c:pt>
                <c:pt idx="98">
                  <c:v>12900</c:v>
                </c:pt>
                <c:pt idx="99">
                  <c:v>13000</c:v>
                </c:pt>
                <c:pt idx="100">
                  <c:v>13100</c:v>
                </c:pt>
                <c:pt idx="101">
                  <c:v>13200</c:v>
                </c:pt>
                <c:pt idx="102">
                  <c:v>13300</c:v>
                </c:pt>
                <c:pt idx="103">
                  <c:v>13400</c:v>
                </c:pt>
                <c:pt idx="104">
                  <c:v>13500</c:v>
                </c:pt>
                <c:pt idx="105">
                  <c:v>13600</c:v>
                </c:pt>
                <c:pt idx="106">
                  <c:v>13700</c:v>
                </c:pt>
                <c:pt idx="107">
                  <c:v>13800</c:v>
                </c:pt>
                <c:pt idx="108">
                  <c:v>13900</c:v>
                </c:pt>
                <c:pt idx="109">
                  <c:v>14000</c:v>
                </c:pt>
                <c:pt idx="110">
                  <c:v>14100</c:v>
                </c:pt>
                <c:pt idx="111">
                  <c:v>14200</c:v>
                </c:pt>
                <c:pt idx="112">
                  <c:v>14300</c:v>
                </c:pt>
                <c:pt idx="113">
                  <c:v>14400</c:v>
                </c:pt>
                <c:pt idx="114">
                  <c:v>14500</c:v>
                </c:pt>
                <c:pt idx="115">
                  <c:v>14600</c:v>
                </c:pt>
                <c:pt idx="116">
                  <c:v>14700</c:v>
                </c:pt>
                <c:pt idx="117">
                  <c:v>14800</c:v>
                </c:pt>
                <c:pt idx="118">
                  <c:v>14900</c:v>
                </c:pt>
                <c:pt idx="119">
                  <c:v>15000</c:v>
                </c:pt>
                <c:pt idx="120">
                  <c:v>15100</c:v>
                </c:pt>
                <c:pt idx="121">
                  <c:v>15200</c:v>
                </c:pt>
                <c:pt idx="122">
                  <c:v>15300</c:v>
                </c:pt>
                <c:pt idx="123">
                  <c:v>15400</c:v>
                </c:pt>
                <c:pt idx="124">
                  <c:v>15500</c:v>
                </c:pt>
                <c:pt idx="125">
                  <c:v>15600</c:v>
                </c:pt>
                <c:pt idx="126">
                  <c:v>15700</c:v>
                </c:pt>
                <c:pt idx="127">
                  <c:v>15800</c:v>
                </c:pt>
                <c:pt idx="128">
                  <c:v>15900</c:v>
                </c:pt>
                <c:pt idx="129">
                  <c:v>16000</c:v>
                </c:pt>
                <c:pt idx="130">
                  <c:v>16100</c:v>
                </c:pt>
                <c:pt idx="131">
                  <c:v>16200</c:v>
                </c:pt>
                <c:pt idx="132">
                  <c:v>16300</c:v>
                </c:pt>
                <c:pt idx="133">
                  <c:v>16400</c:v>
                </c:pt>
                <c:pt idx="134">
                  <c:v>16500</c:v>
                </c:pt>
                <c:pt idx="135">
                  <c:v>16600</c:v>
                </c:pt>
                <c:pt idx="136">
                  <c:v>16700</c:v>
                </c:pt>
                <c:pt idx="137">
                  <c:v>16800</c:v>
                </c:pt>
                <c:pt idx="138">
                  <c:v>16900</c:v>
                </c:pt>
                <c:pt idx="139">
                  <c:v>17000</c:v>
                </c:pt>
                <c:pt idx="140">
                  <c:v>17100</c:v>
                </c:pt>
                <c:pt idx="141">
                  <c:v>17200</c:v>
                </c:pt>
                <c:pt idx="142">
                  <c:v>17300</c:v>
                </c:pt>
                <c:pt idx="143">
                  <c:v>17400</c:v>
                </c:pt>
                <c:pt idx="144">
                  <c:v>17500</c:v>
                </c:pt>
                <c:pt idx="145">
                  <c:v>17600</c:v>
                </c:pt>
                <c:pt idx="146">
                  <c:v>17700</c:v>
                </c:pt>
                <c:pt idx="147">
                  <c:v>17800</c:v>
                </c:pt>
                <c:pt idx="148">
                  <c:v>17900</c:v>
                </c:pt>
                <c:pt idx="149" formatCode="General">
                  <c:v>18000</c:v>
                </c:pt>
                <c:pt idx="150">
                  <c:v>18050</c:v>
                </c:pt>
                <c:pt idx="151">
                  <c:v>18100</c:v>
                </c:pt>
                <c:pt idx="152">
                  <c:v>18150</c:v>
                </c:pt>
                <c:pt idx="153">
                  <c:v>18200</c:v>
                </c:pt>
                <c:pt idx="154">
                  <c:v>18250</c:v>
                </c:pt>
                <c:pt idx="155">
                  <c:v>18300</c:v>
                </c:pt>
                <c:pt idx="156">
                  <c:v>18350</c:v>
                </c:pt>
                <c:pt idx="157">
                  <c:v>18400</c:v>
                </c:pt>
                <c:pt idx="158">
                  <c:v>18450</c:v>
                </c:pt>
                <c:pt idx="159">
                  <c:v>18500</c:v>
                </c:pt>
                <c:pt idx="160">
                  <c:v>18550</c:v>
                </c:pt>
                <c:pt idx="161">
                  <c:v>18600</c:v>
                </c:pt>
                <c:pt idx="162">
                  <c:v>18650</c:v>
                </c:pt>
                <c:pt idx="163">
                  <c:v>18700</c:v>
                </c:pt>
                <c:pt idx="164">
                  <c:v>18750</c:v>
                </c:pt>
                <c:pt idx="165">
                  <c:v>18800</c:v>
                </c:pt>
                <c:pt idx="166">
                  <c:v>18850</c:v>
                </c:pt>
                <c:pt idx="167">
                  <c:v>18900</c:v>
                </c:pt>
                <c:pt idx="168">
                  <c:v>18950</c:v>
                </c:pt>
                <c:pt idx="169">
                  <c:v>19000</c:v>
                </c:pt>
                <c:pt idx="170">
                  <c:v>19050</c:v>
                </c:pt>
                <c:pt idx="171">
                  <c:v>19100</c:v>
                </c:pt>
                <c:pt idx="172">
                  <c:v>19150</c:v>
                </c:pt>
                <c:pt idx="173">
                  <c:v>19200</c:v>
                </c:pt>
                <c:pt idx="174">
                  <c:v>19250</c:v>
                </c:pt>
                <c:pt idx="175">
                  <c:v>19300</c:v>
                </c:pt>
                <c:pt idx="176">
                  <c:v>19350</c:v>
                </c:pt>
                <c:pt idx="177">
                  <c:v>19400</c:v>
                </c:pt>
                <c:pt idx="178">
                  <c:v>19450</c:v>
                </c:pt>
                <c:pt idx="179">
                  <c:v>19500</c:v>
                </c:pt>
                <c:pt idx="180">
                  <c:v>19550</c:v>
                </c:pt>
                <c:pt idx="181">
                  <c:v>19600</c:v>
                </c:pt>
                <c:pt idx="182">
                  <c:v>19650</c:v>
                </c:pt>
                <c:pt idx="183">
                  <c:v>19700</c:v>
                </c:pt>
                <c:pt idx="184">
                  <c:v>19750</c:v>
                </c:pt>
                <c:pt idx="185">
                  <c:v>19800</c:v>
                </c:pt>
                <c:pt idx="186">
                  <c:v>19850</c:v>
                </c:pt>
                <c:pt idx="187">
                  <c:v>19900</c:v>
                </c:pt>
                <c:pt idx="188">
                  <c:v>19950</c:v>
                </c:pt>
                <c:pt idx="189">
                  <c:v>20000</c:v>
                </c:pt>
                <c:pt idx="190">
                  <c:v>20050</c:v>
                </c:pt>
                <c:pt idx="191">
                  <c:v>20100</c:v>
                </c:pt>
                <c:pt idx="192">
                  <c:v>20150</c:v>
                </c:pt>
                <c:pt idx="193">
                  <c:v>20200</c:v>
                </c:pt>
                <c:pt idx="194">
                  <c:v>20250</c:v>
                </c:pt>
                <c:pt idx="195">
                  <c:v>20300</c:v>
                </c:pt>
                <c:pt idx="196">
                  <c:v>20350</c:v>
                </c:pt>
                <c:pt idx="197">
                  <c:v>20400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'Temp Corr'!$I$84</c:f>
              <c:strCache>
                <c:ptCount val="1"/>
                <c:pt idx="0">
                  <c:v>MSZ-GE09NA2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Corr'!$I$85:$I$282</c:f>
              <c:numCache>
                <c:formatCode>0</c:formatCode>
                <c:ptCount val="198"/>
                <c:pt idx="37">
                  <c:v>2280</c:v>
                </c:pt>
                <c:pt idx="38">
                  <c:v>2370</c:v>
                </c:pt>
                <c:pt idx="39">
                  <c:v>2460</c:v>
                </c:pt>
                <c:pt idx="40">
                  <c:v>2550</c:v>
                </c:pt>
                <c:pt idx="41">
                  <c:v>2640</c:v>
                </c:pt>
                <c:pt idx="42">
                  <c:v>2730</c:v>
                </c:pt>
                <c:pt idx="43">
                  <c:v>2820</c:v>
                </c:pt>
                <c:pt idx="44">
                  <c:v>2910</c:v>
                </c:pt>
                <c:pt idx="45">
                  <c:v>3000</c:v>
                </c:pt>
                <c:pt idx="46">
                  <c:v>3090</c:v>
                </c:pt>
                <c:pt idx="47">
                  <c:v>3180</c:v>
                </c:pt>
                <c:pt idx="48">
                  <c:v>3270</c:v>
                </c:pt>
                <c:pt idx="49">
                  <c:v>3360</c:v>
                </c:pt>
                <c:pt idx="50">
                  <c:v>3450</c:v>
                </c:pt>
                <c:pt idx="51">
                  <c:v>3540</c:v>
                </c:pt>
                <c:pt idx="52">
                  <c:v>3630</c:v>
                </c:pt>
                <c:pt idx="53">
                  <c:v>3720</c:v>
                </c:pt>
                <c:pt idx="54">
                  <c:v>3810</c:v>
                </c:pt>
                <c:pt idx="55">
                  <c:v>3900</c:v>
                </c:pt>
                <c:pt idx="56">
                  <c:v>3990</c:v>
                </c:pt>
                <c:pt idx="57">
                  <c:v>4080</c:v>
                </c:pt>
                <c:pt idx="58">
                  <c:v>4170</c:v>
                </c:pt>
                <c:pt idx="59">
                  <c:v>4260</c:v>
                </c:pt>
                <c:pt idx="60">
                  <c:v>4350</c:v>
                </c:pt>
                <c:pt idx="61">
                  <c:v>4440</c:v>
                </c:pt>
                <c:pt idx="62">
                  <c:v>4530</c:v>
                </c:pt>
                <c:pt idx="63">
                  <c:v>4620</c:v>
                </c:pt>
                <c:pt idx="64">
                  <c:v>4710</c:v>
                </c:pt>
                <c:pt idx="65" formatCode="General">
                  <c:v>4800</c:v>
                </c:pt>
                <c:pt idx="66">
                  <c:v>4875</c:v>
                </c:pt>
                <c:pt idx="67">
                  <c:v>4950</c:v>
                </c:pt>
                <c:pt idx="68">
                  <c:v>5025</c:v>
                </c:pt>
                <c:pt idx="69">
                  <c:v>5100</c:v>
                </c:pt>
                <c:pt idx="70">
                  <c:v>5175</c:v>
                </c:pt>
                <c:pt idx="71">
                  <c:v>5250</c:v>
                </c:pt>
                <c:pt idx="72">
                  <c:v>5325</c:v>
                </c:pt>
                <c:pt idx="73">
                  <c:v>5400</c:v>
                </c:pt>
                <c:pt idx="74">
                  <c:v>5475</c:v>
                </c:pt>
                <c:pt idx="75">
                  <c:v>5550</c:v>
                </c:pt>
                <c:pt idx="76">
                  <c:v>5625</c:v>
                </c:pt>
                <c:pt idx="77">
                  <c:v>5700</c:v>
                </c:pt>
                <c:pt idx="78">
                  <c:v>5775</c:v>
                </c:pt>
                <c:pt idx="79">
                  <c:v>5850</c:v>
                </c:pt>
                <c:pt idx="80">
                  <c:v>5925</c:v>
                </c:pt>
                <c:pt idx="81">
                  <c:v>6000</c:v>
                </c:pt>
                <c:pt idx="82">
                  <c:v>6075</c:v>
                </c:pt>
                <c:pt idx="83">
                  <c:v>6150</c:v>
                </c:pt>
                <c:pt idx="84">
                  <c:v>6225</c:v>
                </c:pt>
                <c:pt idx="85">
                  <c:v>6300</c:v>
                </c:pt>
                <c:pt idx="86">
                  <c:v>6375</c:v>
                </c:pt>
                <c:pt idx="87">
                  <c:v>6450</c:v>
                </c:pt>
                <c:pt idx="88">
                  <c:v>6525</c:v>
                </c:pt>
                <c:pt idx="89" formatCode="General">
                  <c:v>6600</c:v>
                </c:pt>
                <c:pt idx="90">
                  <c:v>6671.666666666667</c:v>
                </c:pt>
                <c:pt idx="91">
                  <c:v>6743.3333333333339</c:v>
                </c:pt>
                <c:pt idx="92">
                  <c:v>6815.0000000000009</c:v>
                </c:pt>
                <c:pt idx="93">
                  <c:v>6886.6666666666679</c:v>
                </c:pt>
                <c:pt idx="94">
                  <c:v>6958.3333333333348</c:v>
                </c:pt>
                <c:pt idx="95">
                  <c:v>7030.0000000000018</c:v>
                </c:pt>
                <c:pt idx="96">
                  <c:v>7101.6666666666688</c:v>
                </c:pt>
                <c:pt idx="97">
                  <c:v>7173.3333333333358</c:v>
                </c:pt>
                <c:pt idx="98">
                  <c:v>7245.0000000000027</c:v>
                </c:pt>
                <c:pt idx="99">
                  <c:v>7316.6666666666697</c:v>
                </c:pt>
                <c:pt idx="100">
                  <c:v>7388.3333333333367</c:v>
                </c:pt>
                <c:pt idx="101">
                  <c:v>7460.0000000000036</c:v>
                </c:pt>
                <c:pt idx="102">
                  <c:v>7531.6666666666706</c:v>
                </c:pt>
                <c:pt idx="103">
                  <c:v>7603.3333333333376</c:v>
                </c:pt>
                <c:pt idx="104">
                  <c:v>7675.0000000000045</c:v>
                </c:pt>
                <c:pt idx="105">
                  <c:v>7746.6666666666715</c:v>
                </c:pt>
                <c:pt idx="106">
                  <c:v>7818.3333333333385</c:v>
                </c:pt>
                <c:pt idx="107">
                  <c:v>7890.0000000000055</c:v>
                </c:pt>
                <c:pt idx="108">
                  <c:v>7961.6666666666724</c:v>
                </c:pt>
                <c:pt idx="109">
                  <c:v>8033.3333333333394</c:v>
                </c:pt>
                <c:pt idx="110">
                  <c:v>8105.0000000000064</c:v>
                </c:pt>
                <c:pt idx="111">
                  <c:v>8176.6666666666733</c:v>
                </c:pt>
                <c:pt idx="112">
                  <c:v>8248.3333333333394</c:v>
                </c:pt>
                <c:pt idx="113">
                  <c:v>8320.0000000000055</c:v>
                </c:pt>
                <c:pt idx="114">
                  <c:v>8391.6666666666715</c:v>
                </c:pt>
                <c:pt idx="115">
                  <c:v>8463.3333333333376</c:v>
                </c:pt>
                <c:pt idx="116">
                  <c:v>8535.0000000000036</c:v>
                </c:pt>
                <c:pt idx="117">
                  <c:v>8606.6666666666697</c:v>
                </c:pt>
                <c:pt idx="118">
                  <c:v>8678.3333333333358</c:v>
                </c:pt>
                <c:pt idx="119">
                  <c:v>8750.0000000000018</c:v>
                </c:pt>
                <c:pt idx="120">
                  <c:v>8821.6666666666679</c:v>
                </c:pt>
                <c:pt idx="121">
                  <c:v>8893.3333333333339</c:v>
                </c:pt>
                <c:pt idx="122">
                  <c:v>8965</c:v>
                </c:pt>
                <c:pt idx="123">
                  <c:v>9036.6666666666661</c:v>
                </c:pt>
                <c:pt idx="124">
                  <c:v>9108.3333333333321</c:v>
                </c:pt>
                <c:pt idx="125">
                  <c:v>9179.9999999999982</c:v>
                </c:pt>
                <c:pt idx="126">
                  <c:v>9251.6666666666642</c:v>
                </c:pt>
                <c:pt idx="127">
                  <c:v>9323.3333333333303</c:v>
                </c:pt>
                <c:pt idx="128">
                  <c:v>9394.9999999999964</c:v>
                </c:pt>
                <c:pt idx="129">
                  <c:v>9466.6666666666624</c:v>
                </c:pt>
                <c:pt idx="130">
                  <c:v>9538.3333333333285</c:v>
                </c:pt>
                <c:pt idx="131">
                  <c:v>9609.9999999999945</c:v>
                </c:pt>
                <c:pt idx="132">
                  <c:v>9681.6666666666606</c:v>
                </c:pt>
                <c:pt idx="133">
                  <c:v>9753.3333333333267</c:v>
                </c:pt>
                <c:pt idx="134">
                  <c:v>9824.9999999999927</c:v>
                </c:pt>
                <c:pt idx="135">
                  <c:v>9896.6666666666588</c:v>
                </c:pt>
                <c:pt idx="136">
                  <c:v>9968.3333333333248</c:v>
                </c:pt>
                <c:pt idx="137">
                  <c:v>10039.999999999991</c:v>
                </c:pt>
                <c:pt idx="138">
                  <c:v>10111.666666666657</c:v>
                </c:pt>
                <c:pt idx="139">
                  <c:v>10183.333333333323</c:v>
                </c:pt>
                <c:pt idx="140">
                  <c:v>10254.999999999989</c:v>
                </c:pt>
                <c:pt idx="141">
                  <c:v>10326.666666666655</c:v>
                </c:pt>
                <c:pt idx="142">
                  <c:v>10398.333333333321</c:v>
                </c:pt>
                <c:pt idx="143">
                  <c:v>10469.999999999987</c:v>
                </c:pt>
                <c:pt idx="144">
                  <c:v>10541.666666666653</c:v>
                </c:pt>
                <c:pt idx="145">
                  <c:v>10613.333333333319</c:v>
                </c:pt>
                <c:pt idx="146">
                  <c:v>10684.999999999985</c:v>
                </c:pt>
                <c:pt idx="147">
                  <c:v>10756.666666666652</c:v>
                </c:pt>
                <c:pt idx="148">
                  <c:v>10828.333333333318</c:v>
                </c:pt>
                <c:pt idx="149" formatCode="General">
                  <c:v>10900</c:v>
                </c:pt>
                <c:pt idx="150">
                  <c:v>10935.833333333341</c:v>
                </c:pt>
                <c:pt idx="151">
                  <c:v>10971.666666666682</c:v>
                </c:pt>
                <c:pt idx="152">
                  <c:v>11007.500000000024</c:v>
                </c:pt>
                <c:pt idx="153">
                  <c:v>11043.333333333365</c:v>
                </c:pt>
                <c:pt idx="154">
                  <c:v>11079.166666666706</c:v>
                </c:pt>
                <c:pt idx="155">
                  <c:v>11115.000000000047</c:v>
                </c:pt>
                <c:pt idx="156">
                  <c:v>11150.833333333389</c:v>
                </c:pt>
                <c:pt idx="157">
                  <c:v>11186.66666666673</c:v>
                </c:pt>
                <c:pt idx="158">
                  <c:v>11222.500000000071</c:v>
                </c:pt>
                <c:pt idx="159">
                  <c:v>11258.333333333412</c:v>
                </c:pt>
                <c:pt idx="160">
                  <c:v>11294.166666666753</c:v>
                </c:pt>
                <c:pt idx="161">
                  <c:v>11330.000000000095</c:v>
                </c:pt>
                <c:pt idx="162">
                  <c:v>11365.833333333436</c:v>
                </c:pt>
                <c:pt idx="163">
                  <c:v>11401.666666666777</c:v>
                </c:pt>
                <c:pt idx="164">
                  <c:v>11437.500000000118</c:v>
                </c:pt>
                <c:pt idx="165">
                  <c:v>11473.333333333459</c:v>
                </c:pt>
                <c:pt idx="166">
                  <c:v>11509.166666666801</c:v>
                </c:pt>
                <c:pt idx="167">
                  <c:v>11545.000000000142</c:v>
                </c:pt>
                <c:pt idx="168">
                  <c:v>11580.833333333483</c:v>
                </c:pt>
                <c:pt idx="169">
                  <c:v>11616.666666666824</c:v>
                </c:pt>
                <c:pt idx="170">
                  <c:v>11652.500000000166</c:v>
                </c:pt>
                <c:pt idx="171">
                  <c:v>11688.333333333507</c:v>
                </c:pt>
                <c:pt idx="172">
                  <c:v>11724.166666666848</c:v>
                </c:pt>
                <c:pt idx="173">
                  <c:v>11760.000000000189</c:v>
                </c:pt>
                <c:pt idx="174">
                  <c:v>11795.83333333353</c:v>
                </c:pt>
                <c:pt idx="175">
                  <c:v>11831.666666666872</c:v>
                </c:pt>
                <c:pt idx="176">
                  <c:v>11867.500000000213</c:v>
                </c:pt>
                <c:pt idx="177">
                  <c:v>11903.333333333554</c:v>
                </c:pt>
                <c:pt idx="178">
                  <c:v>11939.166666666895</c:v>
                </c:pt>
                <c:pt idx="179">
                  <c:v>11975.000000000236</c:v>
                </c:pt>
                <c:pt idx="180">
                  <c:v>12010.833333333578</c:v>
                </c:pt>
                <c:pt idx="181">
                  <c:v>12046.666666666919</c:v>
                </c:pt>
                <c:pt idx="182">
                  <c:v>12082.50000000026</c:v>
                </c:pt>
                <c:pt idx="183">
                  <c:v>12118.333333333601</c:v>
                </c:pt>
                <c:pt idx="184">
                  <c:v>12154.166666666943</c:v>
                </c:pt>
                <c:pt idx="185">
                  <c:v>12190.000000000284</c:v>
                </c:pt>
                <c:pt idx="186">
                  <c:v>12225.833333333625</c:v>
                </c:pt>
                <c:pt idx="187">
                  <c:v>12261.666666666966</c:v>
                </c:pt>
                <c:pt idx="188">
                  <c:v>12297.500000000307</c:v>
                </c:pt>
                <c:pt idx="189">
                  <c:v>12333.333333333649</c:v>
                </c:pt>
                <c:pt idx="190">
                  <c:v>12369.16666666699</c:v>
                </c:pt>
                <c:pt idx="191">
                  <c:v>12405.000000000331</c:v>
                </c:pt>
                <c:pt idx="192">
                  <c:v>12440.833333333672</c:v>
                </c:pt>
                <c:pt idx="193">
                  <c:v>12476.666666667013</c:v>
                </c:pt>
                <c:pt idx="194">
                  <c:v>12512.500000000355</c:v>
                </c:pt>
                <c:pt idx="195">
                  <c:v>12548.333333333696</c:v>
                </c:pt>
                <c:pt idx="196">
                  <c:v>12584.166666667037</c:v>
                </c:pt>
                <c:pt idx="197">
                  <c:v>12620.000000000378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'Temp Corr'!$J$84</c:f>
              <c:strCache>
                <c:ptCount val="1"/>
                <c:pt idx="0">
                  <c:v>MSZ-GE12NA2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Corr'!$J$85:$J$282</c:f>
              <c:numCache>
                <c:formatCode>0</c:formatCode>
                <c:ptCount val="198"/>
                <c:pt idx="37">
                  <c:v>2799.999999999995</c:v>
                </c:pt>
                <c:pt idx="38">
                  <c:v>2924.9999999999955</c:v>
                </c:pt>
                <c:pt idx="39">
                  <c:v>3049.9999999999959</c:v>
                </c:pt>
                <c:pt idx="40">
                  <c:v>3174.9999999999964</c:v>
                </c:pt>
                <c:pt idx="41">
                  <c:v>3299.9999999999968</c:v>
                </c:pt>
                <c:pt idx="42">
                  <c:v>3424.9999999999973</c:v>
                </c:pt>
                <c:pt idx="43">
                  <c:v>3549.9999999999977</c:v>
                </c:pt>
                <c:pt idx="44">
                  <c:v>3674.9999999999982</c:v>
                </c:pt>
                <c:pt idx="45">
                  <c:v>3799.9999999999986</c:v>
                </c:pt>
                <c:pt idx="46">
                  <c:v>3924.9999999999991</c:v>
                </c:pt>
                <c:pt idx="47">
                  <c:v>4049.9999999999995</c:v>
                </c:pt>
                <c:pt idx="48">
                  <c:v>4175</c:v>
                </c:pt>
                <c:pt idx="49">
                  <c:v>4300</c:v>
                </c:pt>
                <c:pt idx="50">
                  <c:v>4425</c:v>
                </c:pt>
                <c:pt idx="51">
                  <c:v>4550</c:v>
                </c:pt>
                <c:pt idx="52">
                  <c:v>4675</c:v>
                </c:pt>
                <c:pt idx="53">
                  <c:v>4800</c:v>
                </c:pt>
                <c:pt idx="54">
                  <c:v>4925</c:v>
                </c:pt>
                <c:pt idx="55">
                  <c:v>5050</c:v>
                </c:pt>
                <c:pt idx="56">
                  <c:v>5175</c:v>
                </c:pt>
                <c:pt idx="57">
                  <c:v>5300</c:v>
                </c:pt>
                <c:pt idx="58">
                  <c:v>5425</c:v>
                </c:pt>
                <c:pt idx="59">
                  <c:v>5550</c:v>
                </c:pt>
                <c:pt idx="60">
                  <c:v>5675</c:v>
                </c:pt>
                <c:pt idx="61">
                  <c:v>5800</c:v>
                </c:pt>
                <c:pt idx="62">
                  <c:v>5925</c:v>
                </c:pt>
                <c:pt idx="63">
                  <c:v>6050</c:v>
                </c:pt>
                <c:pt idx="64">
                  <c:v>6175</c:v>
                </c:pt>
                <c:pt idx="65" formatCode="General">
                  <c:v>6300</c:v>
                </c:pt>
                <c:pt idx="66">
                  <c:v>6404.166666666667</c:v>
                </c:pt>
                <c:pt idx="67">
                  <c:v>6508.3333333333339</c:v>
                </c:pt>
                <c:pt idx="68">
                  <c:v>6612.5000000000009</c:v>
                </c:pt>
                <c:pt idx="69">
                  <c:v>6716.6666666666679</c:v>
                </c:pt>
                <c:pt idx="70">
                  <c:v>6820.8333333333348</c:v>
                </c:pt>
                <c:pt idx="71">
                  <c:v>6925.0000000000018</c:v>
                </c:pt>
                <c:pt idx="72">
                  <c:v>7029.1666666666688</c:v>
                </c:pt>
                <c:pt idx="73">
                  <c:v>7133.3333333333358</c:v>
                </c:pt>
                <c:pt idx="74">
                  <c:v>7237.5000000000027</c:v>
                </c:pt>
                <c:pt idx="75">
                  <c:v>7341.6666666666697</c:v>
                </c:pt>
                <c:pt idx="76">
                  <c:v>7445.8333333333367</c:v>
                </c:pt>
                <c:pt idx="77">
                  <c:v>7550.0000000000036</c:v>
                </c:pt>
                <c:pt idx="78">
                  <c:v>7654.1666666666706</c:v>
                </c:pt>
                <c:pt idx="79">
                  <c:v>7758.3333333333376</c:v>
                </c:pt>
                <c:pt idx="80">
                  <c:v>7862.5000000000045</c:v>
                </c:pt>
                <c:pt idx="81">
                  <c:v>7966.6666666666715</c:v>
                </c:pt>
                <c:pt idx="82">
                  <c:v>8070.8333333333385</c:v>
                </c:pt>
                <c:pt idx="83">
                  <c:v>8175.0000000000055</c:v>
                </c:pt>
                <c:pt idx="84">
                  <c:v>8279.1666666666715</c:v>
                </c:pt>
                <c:pt idx="85">
                  <c:v>8383.3333333333376</c:v>
                </c:pt>
                <c:pt idx="86">
                  <c:v>8487.5000000000036</c:v>
                </c:pt>
                <c:pt idx="87">
                  <c:v>8591.6666666666697</c:v>
                </c:pt>
                <c:pt idx="88">
                  <c:v>8695.8333333333358</c:v>
                </c:pt>
                <c:pt idx="89" formatCode="General">
                  <c:v>8800</c:v>
                </c:pt>
                <c:pt idx="90">
                  <c:v>8893.3333333333339</c:v>
                </c:pt>
                <c:pt idx="91">
                  <c:v>8986.6666666666679</c:v>
                </c:pt>
                <c:pt idx="92">
                  <c:v>9080.0000000000018</c:v>
                </c:pt>
                <c:pt idx="93">
                  <c:v>9173.3333333333358</c:v>
                </c:pt>
                <c:pt idx="94">
                  <c:v>9266.6666666666697</c:v>
                </c:pt>
                <c:pt idx="95">
                  <c:v>9360.0000000000036</c:v>
                </c:pt>
                <c:pt idx="96">
                  <c:v>9453.3333333333376</c:v>
                </c:pt>
                <c:pt idx="97">
                  <c:v>9546.6666666666715</c:v>
                </c:pt>
                <c:pt idx="98">
                  <c:v>9640.0000000000055</c:v>
                </c:pt>
                <c:pt idx="99">
                  <c:v>9733.3333333333394</c:v>
                </c:pt>
                <c:pt idx="100">
                  <c:v>9826.6666666666733</c:v>
                </c:pt>
                <c:pt idx="101">
                  <c:v>9920.0000000000073</c:v>
                </c:pt>
                <c:pt idx="102">
                  <c:v>10013.333333333341</c:v>
                </c:pt>
                <c:pt idx="103">
                  <c:v>10106.666666666675</c:v>
                </c:pt>
                <c:pt idx="104">
                  <c:v>10200.000000000009</c:v>
                </c:pt>
                <c:pt idx="105">
                  <c:v>10293.333333333343</c:v>
                </c:pt>
                <c:pt idx="106">
                  <c:v>10386.666666666677</c:v>
                </c:pt>
                <c:pt idx="107">
                  <c:v>10480.000000000011</c:v>
                </c:pt>
                <c:pt idx="108">
                  <c:v>10573.333333333345</c:v>
                </c:pt>
                <c:pt idx="109">
                  <c:v>10666.666666666679</c:v>
                </c:pt>
                <c:pt idx="110">
                  <c:v>10760.000000000013</c:v>
                </c:pt>
                <c:pt idx="111">
                  <c:v>10853.333333333347</c:v>
                </c:pt>
                <c:pt idx="112">
                  <c:v>10946.666666666681</c:v>
                </c:pt>
                <c:pt idx="113">
                  <c:v>11040.000000000015</c:v>
                </c:pt>
                <c:pt idx="114">
                  <c:v>11133.333333333348</c:v>
                </c:pt>
                <c:pt idx="115">
                  <c:v>11226.666666666682</c:v>
                </c:pt>
                <c:pt idx="116">
                  <c:v>11320.000000000016</c:v>
                </c:pt>
                <c:pt idx="117">
                  <c:v>11413.33333333335</c:v>
                </c:pt>
                <c:pt idx="118">
                  <c:v>11506.666666666684</c:v>
                </c:pt>
                <c:pt idx="119">
                  <c:v>11600.000000000018</c:v>
                </c:pt>
                <c:pt idx="120">
                  <c:v>11693.333333333352</c:v>
                </c:pt>
                <c:pt idx="121">
                  <c:v>11786.666666666686</c:v>
                </c:pt>
                <c:pt idx="122">
                  <c:v>11880.00000000002</c:v>
                </c:pt>
                <c:pt idx="123">
                  <c:v>11973.333333333354</c:v>
                </c:pt>
                <c:pt idx="124">
                  <c:v>12066.666666666688</c:v>
                </c:pt>
                <c:pt idx="125">
                  <c:v>12160.000000000022</c:v>
                </c:pt>
                <c:pt idx="126">
                  <c:v>12253.333333333356</c:v>
                </c:pt>
                <c:pt idx="127">
                  <c:v>12346.66666666669</c:v>
                </c:pt>
                <c:pt idx="128">
                  <c:v>12440.000000000024</c:v>
                </c:pt>
                <c:pt idx="129">
                  <c:v>12533.333333333358</c:v>
                </c:pt>
                <c:pt idx="130">
                  <c:v>12626.666666666692</c:v>
                </c:pt>
                <c:pt idx="131">
                  <c:v>12720.000000000025</c:v>
                </c:pt>
                <c:pt idx="132">
                  <c:v>12813.333333333359</c:v>
                </c:pt>
                <c:pt idx="133">
                  <c:v>12906.666666666693</c:v>
                </c:pt>
                <c:pt idx="134">
                  <c:v>13000.000000000027</c:v>
                </c:pt>
                <c:pt idx="135">
                  <c:v>13093.333333333361</c:v>
                </c:pt>
                <c:pt idx="136">
                  <c:v>13186.666666666695</c:v>
                </c:pt>
                <c:pt idx="137">
                  <c:v>13280.000000000029</c:v>
                </c:pt>
                <c:pt idx="138">
                  <c:v>13373.333333333363</c:v>
                </c:pt>
                <c:pt idx="139">
                  <c:v>13466.666666666697</c:v>
                </c:pt>
                <c:pt idx="140">
                  <c:v>13560.000000000031</c:v>
                </c:pt>
                <c:pt idx="141">
                  <c:v>13653.333333333365</c:v>
                </c:pt>
                <c:pt idx="142">
                  <c:v>13746.666666666699</c:v>
                </c:pt>
                <c:pt idx="143">
                  <c:v>13840.000000000033</c:v>
                </c:pt>
                <c:pt idx="144">
                  <c:v>13933.333333333367</c:v>
                </c:pt>
                <c:pt idx="145">
                  <c:v>14026.666666666701</c:v>
                </c:pt>
                <c:pt idx="146">
                  <c:v>14120.000000000035</c:v>
                </c:pt>
                <c:pt idx="147">
                  <c:v>14213.333333333369</c:v>
                </c:pt>
                <c:pt idx="148">
                  <c:v>14306.666666666702</c:v>
                </c:pt>
                <c:pt idx="149" formatCode="General">
                  <c:v>14400</c:v>
                </c:pt>
                <c:pt idx="150">
                  <c:v>14446.66666666665</c:v>
                </c:pt>
                <c:pt idx="151">
                  <c:v>14493.333333333299</c:v>
                </c:pt>
                <c:pt idx="152">
                  <c:v>14539.999999999949</c:v>
                </c:pt>
                <c:pt idx="153">
                  <c:v>14586.666666666599</c:v>
                </c:pt>
                <c:pt idx="154">
                  <c:v>14633.333333333248</c:v>
                </c:pt>
                <c:pt idx="155">
                  <c:v>14679.999999999898</c:v>
                </c:pt>
                <c:pt idx="156">
                  <c:v>14726.666666666548</c:v>
                </c:pt>
                <c:pt idx="157">
                  <c:v>14773.333333333198</c:v>
                </c:pt>
                <c:pt idx="158">
                  <c:v>14819.999999999847</c:v>
                </c:pt>
                <c:pt idx="159">
                  <c:v>14866.666666666497</c:v>
                </c:pt>
                <c:pt idx="160">
                  <c:v>14913.333333333147</c:v>
                </c:pt>
                <c:pt idx="161">
                  <c:v>14959.999999999796</c:v>
                </c:pt>
                <c:pt idx="162">
                  <c:v>15006.666666666446</c:v>
                </c:pt>
                <c:pt idx="163">
                  <c:v>15053.333333333096</c:v>
                </c:pt>
                <c:pt idx="164">
                  <c:v>15099.999999999745</c:v>
                </c:pt>
                <c:pt idx="165">
                  <c:v>15146.666666666395</c:v>
                </c:pt>
                <c:pt idx="166">
                  <c:v>15193.333333333045</c:v>
                </c:pt>
                <c:pt idx="167">
                  <c:v>15239.999999999694</c:v>
                </c:pt>
                <c:pt idx="168">
                  <c:v>15286.666666666344</c:v>
                </c:pt>
                <c:pt idx="169">
                  <c:v>15333.333333332994</c:v>
                </c:pt>
                <c:pt idx="170">
                  <c:v>15379.999999999643</c:v>
                </c:pt>
                <c:pt idx="171">
                  <c:v>15426.666666666293</c:v>
                </c:pt>
                <c:pt idx="172">
                  <c:v>15473.333333332943</c:v>
                </c:pt>
                <c:pt idx="173">
                  <c:v>15519.999999999593</c:v>
                </c:pt>
                <c:pt idx="174">
                  <c:v>15566.666666666242</c:v>
                </c:pt>
                <c:pt idx="175">
                  <c:v>15613.333333332892</c:v>
                </c:pt>
                <c:pt idx="176">
                  <c:v>15659.999999999542</c:v>
                </c:pt>
                <c:pt idx="177">
                  <c:v>15706.666666666191</c:v>
                </c:pt>
                <c:pt idx="178">
                  <c:v>15753.333333332841</c:v>
                </c:pt>
                <c:pt idx="179">
                  <c:v>15799.999999999491</c:v>
                </c:pt>
                <c:pt idx="180">
                  <c:v>15846.66666666614</c:v>
                </c:pt>
                <c:pt idx="181">
                  <c:v>15893.33333333279</c:v>
                </c:pt>
                <c:pt idx="182">
                  <c:v>15939.99999999944</c:v>
                </c:pt>
                <c:pt idx="183">
                  <c:v>15986.666666666089</c:v>
                </c:pt>
                <c:pt idx="184">
                  <c:v>16033.333333332739</c:v>
                </c:pt>
                <c:pt idx="185">
                  <c:v>16079.999999999389</c:v>
                </c:pt>
                <c:pt idx="186">
                  <c:v>16126.666666666039</c:v>
                </c:pt>
                <c:pt idx="187">
                  <c:v>16173.333333332688</c:v>
                </c:pt>
                <c:pt idx="188">
                  <c:v>16219.999999999338</c:v>
                </c:pt>
                <c:pt idx="189">
                  <c:v>16266.666666665988</c:v>
                </c:pt>
                <c:pt idx="190">
                  <c:v>16313.333333332637</c:v>
                </c:pt>
                <c:pt idx="191">
                  <c:v>16359.999999999287</c:v>
                </c:pt>
                <c:pt idx="192">
                  <c:v>16406.666666665937</c:v>
                </c:pt>
                <c:pt idx="193">
                  <c:v>16453.333333332586</c:v>
                </c:pt>
                <c:pt idx="194">
                  <c:v>16499.999999999236</c:v>
                </c:pt>
                <c:pt idx="195">
                  <c:v>16546.666666665886</c:v>
                </c:pt>
                <c:pt idx="196">
                  <c:v>16593.333333332535</c:v>
                </c:pt>
                <c:pt idx="197">
                  <c:v>16639.999999999185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'Temp Corr'!$K$84</c:f>
              <c:strCache>
                <c:ptCount val="1"/>
                <c:pt idx="0">
                  <c:v>MSZ-GE15NA2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Corr'!$K$85:$K$282</c:f>
              <c:numCache>
                <c:formatCode>0</c:formatCode>
                <c:ptCount val="198"/>
                <c:pt idx="37">
                  <c:v>3139.9999999999973</c:v>
                </c:pt>
                <c:pt idx="38">
                  <c:v>3309.9999999999977</c:v>
                </c:pt>
                <c:pt idx="39">
                  <c:v>3479.9999999999982</c:v>
                </c:pt>
                <c:pt idx="40">
                  <c:v>3649.9999999999986</c:v>
                </c:pt>
                <c:pt idx="41">
                  <c:v>3819.9999999999991</c:v>
                </c:pt>
                <c:pt idx="42">
                  <c:v>3989.9999999999995</c:v>
                </c:pt>
                <c:pt idx="43">
                  <c:v>4160</c:v>
                </c:pt>
                <c:pt idx="44">
                  <c:v>4330</c:v>
                </c:pt>
                <c:pt idx="45">
                  <c:v>4500</c:v>
                </c:pt>
                <c:pt idx="46">
                  <c:v>4670</c:v>
                </c:pt>
                <c:pt idx="47">
                  <c:v>4840</c:v>
                </c:pt>
                <c:pt idx="48">
                  <c:v>5010</c:v>
                </c:pt>
                <c:pt idx="49">
                  <c:v>5180</c:v>
                </c:pt>
                <c:pt idx="50">
                  <c:v>5350</c:v>
                </c:pt>
                <c:pt idx="51">
                  <c:v>5520</c:v>
                </c:pt>
                <c:pt idx="52">
                  <c:v>5690</c:v>
                </c:pt>
                <c:pt idx="53">
                  <c:v>5860</c:v>
                </c:pt>
                <c:pt idx="54">
                  <c:v>6030</c:v>
                </c:pt>
                <c:pt idx="55">
                  <c:v>6200</c:v>
                </c:pt>
                <c:pt idx="56">
                  <c:v>6370</c:v>
                </c:pt>
                <c:pt idx="57">
                  <c:v>6540</c:v>
                </c:pt>
                <c:pt idx="58">
                  <c:v>6710</c:v>
                </c:pt>
                <c:pt idx="59">
                  <c:v>6880</c:v>
                </c:pt>
                <c:pt idx="60">
                  <c:v>7050</c:v>
                </c:pt>
                <c:pt idx="61">
                  <c:v>7220</c:v>
                </c:pt>
                <c:pt idx="62">
                  <c:v>7390</c:v>
                </c:pt>
                <c:pt idx="63">
                  <c:v>7560</c:v>
                </c:pt>
                <c:pt idx="64">
                  <c:v>7730</c:v>
                </c:pt>
                <c:pt idx="65" formatCode="General">
                  <c:v>7900</c:v>
                </c:pt>
                <c:pt idx="66">
                  <c:v>8041.666666666667</c:v>
                </c:pt>
                <c:pt idx="67">
                  <c:v>8183.3333333333339</c:v>
                </c:pt>
                <c:pt idx="68">
                  <c:v>8325</c:v>
                </c:pt>
                <c:pt idx="69">
                  <c:v>8466.6666666666661</c:v>
                </c:pt>
                <c:pt idx="70">
                  <c:v>8608.3333333333321</c:v>
                </c:pt>
                <c:pt idx="71">
                  <c:v>8749.9999999999982</c:v>
                </c:pt>
                <c:pt idx="72">
                  <c:v>8891.6666666666642</c:v>
                </c:pt>
                <c:pt idx="73">
                  <c:v>9033.3333333333303</c:v>
                </c:pt>
                <c:pt idx="74">
                  <c:v>9174.9999999999964</c:v>
                </c:pt>
                <c:pt idx="75">
                  <c:v>9316.6666666666624</c:v>
                </c:pt>
                <c:pt idx="76">
                  <c:v>9458.3333333333285</c:v>
                </c:pt>
                <c:pt idx="77">
                  <c:v>9599.9999999999945</c:v>
                </c:pt>
                <c:pt idx="78">
                  <c:v>9741.6666666666606</c:v>
                </c:pt>
                <c:pt idx="79">
                  <c:v>9883.3333333333267</c:v>
                </c:pt>
                <c:pt idx="80">
                  <c:v>10024.999999999993</c:v>
                </c:pt>
                <c:pt idx="81">
                  <c:v>10166.666666666659</c:v>
                </c:pt>
                <c:pt idx="82">
                  <c:v>10308.333333333325</c:v>
                </c:pt>
                <c:pt idx="83">
                  <c:v>10449.999999999991</c:v>
                </c:pt>
                <c:pt idx="84">
                  <c:v>10591.666666666657</c:v>
                </c:pt>
                <c:pt idx="85">
                  <c:v>10733.333333333323</c:v>
                </c:pt>
                <c:pt idx="86">
                  <c:v>10874.999999999989</c:v>
                </c:pt>
                <c:pt idx="87">
                  <c:v>11016.666666666655</c:v>
                </c:pt>
                <c:pt idx="88">
                  <c:v>11158.333333333321</c:v>
                </c:pt>
                <c:pt idx="89" formatCode="General">
                  <c:v>11300</c:v>
                </c:pt>
                <c:pt idx="90">
                  <c:v>11411.666666666666</c:v>
                </c:pt>
                <c:pt idx="91">
                  <c:v>11523.333333333332</c:v>
                </c:pt>
                <c:pt idx="92">
                  <c:v>11634.999999999998</c:v>
                </c:pt>
                <c:pt idx="93">
                  <c:v>11746.666666666664</c:v>
                </c:pt>
                <c:pt idx="94">
                  <c:v>11858.33333333333</c:v>
                </c:pt>
                <c:pt idx="95">
                  <c:v>11969.999999999996</c:v>
                </c:pt>
                <c:pt idx="96">
                  <c:v>12081.666666666662</c:v>
                </c:pt>
                <c:pt idx="97">
                  <c:v>12193.333333333328</c:v>
                </c:pt>
                <c:pt idx="98">
                  <c:v>12304.999999999995</c:v>
                </c:pt>
                <c:pt idx="99">
                  <c:v>12416.666666666661</c:v>
                </c:pt>
                <c:pt idx="100">
                  <c:v>12528.333333333327</c:v>
                </c:pt>
                <c:pt idx="101">
                  <c:v>12639.999999999993</c:v>
                </c:pt>
                <c:pt idx="102">
                  <c:v>12751.666666666659</c:v>
                </c:pt>
                <c:pt idx="103">
                  <c:v>12863.333333333325</c:v>
                </c:pt>
                <c:pt idx="104">
                  <c:v>12974.999999999991</c:v>
                </c:pt>
                <c:pt idx="105">
                  <c:v>13086.666666666657</c:v>
                </c:pt>
                <c:pt idx="106">
                  <c:v>13198.333333333323</c:v>
                </c:pt>
                <c:pt idx="107">
                  <c:v>13309.999999999989</c:v>
                </c:pt>
                <c:pt idx="108">
                  <c:v>13421.666666666655</c:v>
                </c:pt>
                <c:pt idx="109">
                  <c:v>13533.333333333321</c:v>
                </c:pt>
                <c:pt idx="110">
                  <c:v>13644.999999999987</c:v>
                </c:pt>
                <c:pt idx="111">
                  <c:v>13756.666666666653</c:v>
                </c:pt>
                <c:pt idx="112">
                  <c:v>13868.333333333319</c:v>
                </c:pt>
                <c:pt idx="113">
                  <c:v>13979.999999999985</c:v>
                </c:pt>
                <c:pt idx="114">
                  <c:v>14091.666666666652</c:v>
                </c:pt>
                <c:pt idx="115">
                  <c:v>14203.333333333318</c:v>
                </c:pt>
                <c:pt idx="116">
                  <c:v>14314.999999999984</c:v>
                </c:pt>
                <c:pt idx="117">
                  <c:v>14426.66666666665</c:v>
                </c:pt>
                <c:pt idx="118">
                  <c:v>14538.333333333316</c:v>
                </c:pt>
                <c:pt idx="119">
                  <c:v>14649.999999999982</c:v>
                </c:pt>
                <c:pt idx="120">
                  <c:v>14761.666666666648</c:v>
                </c:pt>
                <c:pt idx="121">
                  <c:v>14873.333333333314</c:v>
                </c:pt>
                <c:pt idx="122">
                  <c:v>14984.99999999998</c:v>
                </c:pt>
                <c:pt idx="123">
                  <c:v>15096.666666666646</c:v>
                </c:pt>
                <c:pt idx="124">
                  <c:v>15208.333333333312</c:v>
                </c:pt>
                <c:pt idx="125">
                  <c:v>15319.999999999978</c:v>
                </c:pt>
                <c:pt idx="126">
                  <c:v>15431.666666666644</c:v>
                </c:pt>
                <c:pt idx="127">
                  <c:v>15543.33333333331</c:v>
                </c:pt>
                <c:pt idx="128">
                  <c:v>15654.999999999976</c:v>
                </c:pt>
                <c:pt idx="129">
                  <c:v>15766.666666666642</c:v>
                </c:pt>
                <c:pt idx="130">
                  <c:v>15878.333333333308</c:v>
                </c:pt>
                <c:pt idx="131">
                  <c:v>15989.999999999975</c:v>
                </c:pt>
                <c:pt idx="132">
                  <c:v>16101.666666666641</c:v>
                </c:pt>
                <c:pt idx="133">
                  <c:v>16213.333333333307</c:v>
                </c:pt>
                <c:pt idx="134">
                  <c:v>16324.999999999973</c:v>
                </c:pt>
                <c:pt idx="135">
                  <c:v>16436.666666666639</c:v>
                </c:pt>
                <c:pt idx="136">
                  <c:v>16548.333333333307</c:v>
                </c:pt>
                <c:pt idx="137">
                  <c:v>16659.999999999975</c:v>
                </c:pt>
                <c:pt idx="138">
                  <c:v>16771.666666666642</c:v>
                </c:pt>
                <c:pt idx="139">
                  <c:v>16883.33333333331</c:v>
                </c:pt>
                <c:pt idx="140">
                  <c:v>16994.999999999978</c:v>
                </c:pt>
                <c:pt idx="141">
                  <c:v>17106.666666666646</c:v>
                </c:pt>
                <c:pt idx="142">
                  <c:v>17218.333333333314</c:v>
                </c:pt>
                <c:pt idx="143">
                  <c:v>17329.999999999982</c:v>
                </c:pt>
                <c:pt idx="144">
                  <c:v>17441.66666666665</c:v>
                </c:pt>
                <c:pt idx="145">
                  <c:v>17553.333333333318</c:v>
                </c:pt>
                <c:pt idx="146">
                  <c:v>17664.999999999985</c:v>
                </c:pt>
                <c:pt idx="147">
                  <c:v>17776.666666666653</c:v>
                </c:pt>
                <c:pt idx="148">
                  <c:v>17888.333333333321</c:v>
                </c:pt>
                <c:pt idx="149" formatCode="General">
                  <c:v>18000</c:v>
                </c:pt>
                <c:pt idx="150">
                  <c:v>18055.833333333339</c:v>
                </c:pt>
                <c:pt idx="151">
                  <c:v>18111.666666666679</c:v>
                </c:pt>
                <c:pt idx="152">
                  <c:v>18167.500000000018</c:v>
                </c:pt>
                <c:pt idx="153">
                  <c:v>18223.333333333358</c:v>
                </c:pt>
                <c:pt idx="154">
                  <c:v>18279.166666666697</c:v>
                </c:pt>
                <c:pt idx="155">
                  <c:v>18335.000000000036</c:v>
                </c:pt>
                <c:pt idx="156">
                  <c:v>18390.833333333376</c:v>
                </c:pt>
                <c:pt idx="157">
                  <c:v>18446.666666666715</c:v>
                </c:pt>
                <c:pt idx="158">
                  <c:v>18502.500000000055</c:v>
                </c:pt>
                <c:pt idx="159">
                  <c:v>18558.333333333394</c:v>
                </c:pt>
                <c:pt idx="160">
                  <c:v>18614.166666666733</c:v>
                </c:pt>
                <c:pt idx="161">
                  <c:v>18670.000000000073</c:v>
                </c:pt>
                <c:pt idx="162">
                  <c:v>18725.833333333412</c:v>
                </c:pt>
                <c:pt idx="163">
                  <c:v>18781.666666666752</c:v>
                </c:pt>
                <c:pt idx="164">
                  <c:v>18837.500000000091</c:v>
                </c:pt>
                <c:pt idx="165">
                  <c:v>18893.33333333343</c:v>
                </c:pt>
                <c:pt idx="166">
                  <c:v>18949.16666666677</c:v>
                </c:pt>
                <c:pt idx="167">
                  <c:v>19005.000000000109</c:v>
                </c:pt>
                <c:pt idx="168">
                  <c:v>19060.833333333449</c:v>
                </c:pt>
                <c:pt idx="169">
                  <c:v>19116.666666666788</c:v>
                </c:pt>
                <c:pt idx="170">
                  <c:v>19172.500000000127</c:v>
                </c:pt>
                <c:pt idx="171">
                  <c:v>19228.333333333467</c:v>
                </c:pt>
                <c:pt idx="172">
                  <c:v>19284.166666666806</c:v>
                </c:pt>
                <c:pt idx="173">
                  <c:v>19340.000000000146</c:v>
                </c:pt>
                <c:pt idx="174">
                  <c:v>19395.833333333485</c:v>
                </c:pt>
                <c:pt idx="175">
                  <c:v>19451.666666666824</c:v>
                </c:pt>
                <c:pt idx="176">
                  <c:v>19507.500000000164</c:v>
                </c:pt>
                <c:pt idx="177">
                  <c:v>19563.333333333503</c:v>
                </c:pt>
                <c:pt idx="178">
                  <c:v>19619.166666666843</c:v>
                </c:pt>
                <c:pt idx="179">
                  <c:v>19675.000000000182</c:v>
                </c:pt>
                <c:pt idx="180">
                  <c:v>19730.833333333521</c:v>
                </c:pt>
                <c:pt idx="181">
                  <c:v>19786.666666666861</c:v>
                </c:pt>
                <c:pt idx="182">
                  <c:v>19842.5000000002</c:v>
                </c:pt>
                <c:pt idx="183">
                  <c:v>19898.333333333539</c:v>
                </c:pt>
                <c:pt idx="184">
                  <c:v>19954.166666666879</c:v>
                </c:pt>
                <c:pt idx="185">
                  <c:v>20010.000000000218</c:v>
                </c:pt>
                <c:pt idx="186">
                  <c:v>20065.833333333558</c:v>
                </c:pt>
                <c:pt idx="187">
                  <c:v>20121.666666666897</c:v>
                </c:pt>
                <c:pt idx="188">
                  <c:v>20177.500000000236</c:v>
                </c:pt>
                <c:pt idx="189">
                  <c:v>20233.333333333576</c:v>
                </c:pt>
                <c:pt idx="190">
                  <c:v>20289.166666666915</c:v>
                </c:pt>
                <c:pt idx="191">
                  <c:v>20345.000000000255</c:v>
                </c:pt>
                <c:pt idx="192">
                  <c:v>20400.833333333594</c:v>
                </c:pt>
                <c:pt idx="193">
                  <c:v>20456.666666666933</c:v>
                </c:pt>
                <c:pt idx="194">
                  <c:v>20512.500000000273</c:v>
                </c:pt>
                <c:pt idx="195">
                  <c:v>20568.333333333612</c:v>
                </c:pt>
                <c:pt idx="196">
                  <c:v>20624.166666666952</c:v>
                </c:pt>
                <c:pt idx="197">
                  <c:v>20680.000000000291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'Temp Corr'!$L$84</c:f>
              <c:strCache>
                <c:ptCount val="1"/>
                <c:pt idx="0">
                  <c:v>MSZ-GE18NA-1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Corr'!$L$85:$L$282</c:f>
              <c:numCache>
                <c:formatCode>0</c:formatCode>
                <c:ptCount val="198"/>
                <c:pt idx="37">
                  <c:v>3080.0000000000218</c:v>
                </c:pt>
                <c:pt idx="38">
                  <c:v>3295.0000000000209</c:v>
                </c:pt>
                <c:pt idx="39">
                  <c:v>3510.00000000002</c:v>
                </c:pt>
                <c:pt idx="40">
                  <c:v>3725.0000000000191</c:v>
                </c:pt>
                <c:pt idx="41">
                  <c:v>3940.0000000000182</c:v>
                </c:pt>
                <c:pt idx="42">
                  <c:v>4155.0000000000173</c:v>
                </c:pt>
                <c:pt idx="43">
                  <c:v>4370.0000000000164</c:v>
                </c:pt>
                <c:pt idx="44">
                  <c:v>4585.0000000000155</c:v>
                </c:pt>
                <c:pt idx="45">
                  <c:v>4800.0000000000146</c:v>
                </c:pt>
                <c:pt idx="46">
                  <c:v>5015.0000000000136</c:v>
                </c:pt>
                <c:pt idx="47">
                  <c:v>5230.0000000000127</c:v>
                </c:pt>
                <c:pt idx="48">
                  <c:v>5445.0000000000118</c:v>
                </c:pt>
                <c:pt idx="49">
                  <c:v>5660.0000000000109</c:v>
                </c:pt>
                <c:pt idx="50">
                  <c:v>5875.00000000001</c:v>
                </c:pt>
                <c:pt idx="51">
                  <c:v>6090.0000000000091</c:v>
                </c:pt>
                <c:pt idx="52">
                  <c:v>6305.0000000000082</c:v>
                </c:pt>
                <c:pt idx="53">
                  <c:v>6520.0000000000073</c:v>
                </c:pt>
                <c:pt idx="54">
                  <c:v>6735.0000000000064</c:v>
                </c:pt>
                <c:pt idx="55">
                  <c:v>6950.0000000000055</c:v>
                </c:pt>
                <c:pt idx="56">
                  <c:v>7165.0000000000045</c:v>
                </c:pt>
                <c:pt idx="57">
                  <c:v>7380.0000000000036</c:v>
                </c:pt>
                <c:pt idx="58">
                  <c:v>7595.0000000000027</c:v>
                </c:pt>
                <c:pt idx="59">
                  <c:v>7810.0000000000018</c:v>
                </c:pt>
                <c:pt idx="60">
                  <c:v>8025.0000000000009</c:v>
                </c:pt>
                <c:pt idx="61">
                  <c:v>8240</c:v>
                </c:pt>
                <c:pt idx="62">
                  <c:v>8455</c:v>
                </c:pt>
                <c:pt idx="63">
                  <c:v>8670</c:v>
                </c:pt>
                <c:pt idx="64">
                  <c:v>8885</c:v>
                </c:pt>
                <c:pt idx="65" formatCode="General">
                  <c:v>9100</c:v>
                </c:pt>
                <c:pt idx="66">
                  <c:v>9279.1666666666661</c:v>
                </c:pt>
                <c:pt idx="67">
                  <c:v>9458.3333333333321</c:v>
                </c:pt>
                <c:pt idx="68">
                  <c:v>9637.4999999999982</c:v>
                </c:pt>
                <c:pt idx="69">
                  <c:v>9816.6666666666642</c:v>
                </c:pt>
                <c:pt idx="70">
                  <c:v>9995.8333333333303</c:v>
                </c:pt>
                <c:pt idx="71">
                  <c:v>10174.999999999996</c:v>
                </c:pt>
                <c:pt idx="72">
                  <c:v>10354.166666666662</c:v>
                </c:pt>
                <c:pt idx="73">
                  <c:v>10533.333333333328</c:v>
                </c:pt>
                <c:pt idx="74">
                  <c:v>10712.499999999995</c:v>
                </c:pt>
                <c:pt idx="75">
                  <c:v>10891.666666666661</c:v>
                </c:pt>
                <c:pt idx="76">
                  <c:v>11070.833333333327</c:v>
                </c:pt>
                <c:pt idx="77">
                  <c:v>11249.999999999993</c:v>
                </c:pt>
                <c:pt idx="78">
                  <c:v>11429.166666666659</c:v>
                </c:pt>
                <c:pt idx="79">
                  <c:v>11608.333333333325</c:v>
                </c:pt>
                <c:pt idx="80">
                  <c:v>11787.499999999991</c:v>
                </c:pt>
                <c:pt idx="81">
                  <c:v>11966.666666666657</c:v>
                </c:pt>
                <c:pt idx="82">
                  <c:v>12145.833333333323</c:v>
                </c:pt>
                <c:pt idx="83">
                  <c:v>12324.999999999989</c:v>
                </c:pt>
                <c:pt idx="84">
                  <c:v>12504.166666666655</c:v>
                </c:pt>
                <c:pt idx="85">
                  <c:v>12683.333333333321</c:v>
                </c:pt>
                <c:pt idx="86">
                  <c:v>12862.499999999987</c:v>
                </c:pt>
                <c:pt idx="87">
                  <c:v>13041.666666666653</c:v>
                </c:pt>
                <c:pt idx="88">
                  <c:v>13220.833333333319</c:v>
                </c:pt>
                <c:pt idx="89" formatCode="General">
                  <c:v>13400</c:v>
                </c:pt>
                <c:pt idx="90">
                  <c:v>13536.666666666666</c:v>
                </c:pt>
                <c:pt idx="91">
                  <c:v>13673.333333333332</c:v>
                </c:pt>
                <c:pt idx="92">
                  <c:v>13809.999999999998</c:v>
                </c:pt>
                <c:pt idx="93">
                  <c:v>13946.666666666664</c:v>
                </c:pt>
                <c:pt idx="94">
                  <c:v>14083.33333333333</c:v>
                </c:pt>
                <c:pt idx="95">
                  <c:v>14219.999999999996</c:v>
                </c:pt>
                <c:pt idx="96">
                  <c:v>14356.666666666662</c:v>
                </c:pt>
                <c:pt idx="97">
                  <c:v>14493.333333333328</c:v>
                </c:pt>
                <c:pt idx="98">
                  <c:v>14629.999999999995</c:v>
                </c:pt>
                <c:pt idx="99">
                  <c:v>14766.666666666661</c:v>
                </c:pt>
                <c:pt idx="100">
                  <c:v>14903.333333333327</c:v>
                </c:pt>
                <c:pt idx="101">
                  <c:v>15039.999999999993</c:v>
                </c:pt>
                <c:pt idx="102">
                  <c:v>15176.666666666659</c:v>
                </c:pt>
                <c:pt idx="103">
                  <c:v>15313.333333333325</c:v>
                </c:pt>
                <c:pt idx="104">
                  <c:v>15449.999999999991</c:v>
                </c:pt>
                <c:pt idx="105">
                  <c:v>15586.666666666657</c:v>
                </c:pt>
                <c:pt idx="106">
                  <c:v>15723.333333333323</c:v>
                </c:pt>
                <c:pt idx="107">
                  <c:v>15859.999999999989</c:v>
                </c:pt>
                <c:pt idx="108">
                  <c:v>15996.666666666655</c:v>
                </c:pt>
                <c:pt idx="109">
                  <c:v>16133.333333333321</c:v>
                </c:pt>
                <c:pt idx="110">
                  <c:v>16269.999999999987</c:v>
                </c:pt>
                <c:pt idx="111">
                  <c:v>16406.666666666653</c:v>
                </c:pt>
                <c:pt idx="112">
                  <c:v>16543.333333333321</c:v>
                </c:pt>
                <c:pt idx="113">
                  <c:v>16679.999999999989</c:v>
                </c:pt>
                <c:pt idx="114">
                  <c:v>16816.666666666657</c:v>
                </c:pt>
                <c:pt idx="115">
                  <c:v>16953.333333333325</c:v>
                </c:pt>
                <c:pt idx="116">
                  <c:v>17089.999999999993</c:v>
                </c:pt>
                <c:pt idx="117">
                  <c:v>17226.666666666661</c:v>
                </c:pt>
                <c:pt idx="118">
                  <c:v>17363.333333333328</c:v>
                </c:pt>
                <c:pt idx="119">
                  <c:v>17499.999999999996</c:v>
                </c:pt>
                <c:pt idx="120">
                  <c:v>17636.666666666664</c:v>
                </c:pt>
                <c:pt idx="121">
                  <c:v>17773.333333333332</c:v>
                </c:pt>
                <c:pt idx="122">
                  <c:v>17910</c:v>
                </c:pt>
                <c:pt idx="123">
                  <c:v>18046.666666666668</c:v>
                </c:pt>
                <c:pt idx="124">
                  <c:v>18183.333333333336</c:v>
                </c:pt>
                <c:pt idx="125">
                  <c:v>18320.000000000004</c:v>
                </c:pt>
                <c:pt idx="126">
                  <c:v>18456.666666666672</c:v>
                </c:pt>
                <c:pt idx="127">
                  <c:v>18593.333333333339</c:v>
                </c:pt>
                <c:pt idx="128">
                  <c:v>18730.000000000007</c:v>
                </c:pt>
                <c:pt idx="129">
                  <c:v>18866.666666666675</c:v>
                </c:pt>
                <c:pt idx="130">
                  <c:v>19003.333333333343</c:v>
                </c:pt>
                <c:pt idx="131">
                  <c:v>19140.000000000011</c:v>
                </c:pt>
                <c:pt idx="132">
                  <c:v>19276.666666666679</c:v>
                </c:pt>
                <c:pt idx="133">
                  <c:v>19413.333333333347</c:v>
                </c:pt>
                <c:pt idx="134">
                  <c:v>19550.000000000015</c:v>
                </c:pt>
                <c:pt idx="135">
                  <c:v>19686.666666666682</c:v>
                </c:pt>
                <c:pt idx="136">
                  <c:v>19823.33333333335</c:v>
                </c:pt>
                <c:pt idx="137">
                  <c:v>19960.000000000018</c:v>
                </c:pt>
                <c:pt idx="138">
                  <c:v>20096.666666666686</c:v>
                </c:pt>
                <c:pt idx="139">
                  <c:v>20233.333333333354</c:v>
                </c:pt>
                <c:pt idx="140">
                  <c:v>20370.000000000022</c:v>
                </c:pt>
                <c:pt idx="141">
                  <c:v>20506.66666666669</c:v>
                </c:pt>
                <c:pt idx="142">
                  <c:v>20643.333333333358</c:v>
                </c:pt>
                <c:pt idx="143">
                  <c:v>20780.000000000025</c:v>
                </c:pt>
                <c:pt idx="144">
                  <c:v>20916.666666666693</c:v>
                </c:pt>
                <c:pt idx="145">
                  <c:v>21053.333333333361</c:v>
                </c:pt>
                <c:pt idx="146">
                  <c:v>21190.000000000029</c:v>
                </c:pt>
                <c:pt idx="147">
                  <c:v>21326.666666666697</c:v>
                </c:pt>
                <c:pt idx="148">
                  <c:v>21463.333333333365</c:v>
                </c:pt>
                <c:pt idx="149" formatCode="General">
                  <c:v>21600</c:v>
                </c:pt>
                <c:pt idx="150">
                  <c:v>21668.333333333318</c:v>
                </c:pt>
                <c:pt idx="151">
                  <c:v>21736.666666666635</c:v>
                </c:pt>
                <c:pt idx="152">
                  <c:v>21804.999999999953</c:v>
                </c:pt>
                <c:pt idx="153">
                  <c:v>21873.33333333327</c:v>
                </c:pt>
                <c:pt idx="154">
                  <c:v>21941.666666666588</c:v>
                </c:pt>
                <c:pt idx="155">
                  <c:v>22009.999999999905</c:v>
                </c:pt>
                <c:pt idx="156">
                  <c:v>22078.333333333223</c:v>
                </c:pt>
                <c:pt idx="157">
                  <c:v>22146.666666666541</c:v>
                </c:pt>
                <c:pt idx="158">
                  <c:v>22214.999999999858</c:v>
                </c:pt>
                <c:pt idx="159">
                  <c:v>22283.333333333176</c:v>
                </c:pt>
                <c:pt idx="160">
                  <c:v>22351.666666666493</c:v>
                </c:pt>
                <c:pt idx="161">
                  <c:v>22419.999999999811</c:v>
                </c:pt>
                <c:pt idx="162">
                  <c:v>22488.333333333128</c:v>
                </c:pt>
                <c:pt idx="163">
                  <c:v>22556.666666666446</c:v>
                </c:pt>
                <c:pt idx="164">
                  <c:v>22624.999999999764</c:v>
                </c:pt>
                <c:pt idx="165">
                  <c:v>22693.333333333081</c:v>
                </c:pt>
                <c:pt idx="166">
                  <c:v>22761.666666666399</c:v>
                </c:pt>
                <c:pt idx="167">
                  <c:v>22829.999999999716</c:v>
                </c:pt>
                <c:pt idx="168">
                  <c:v>22898.333333333034</c:v>
                </c:pt>
                <c:pt idx="169">
                  <c:v>22966.666666666351</c:v>
                </c:pt>
                <c:pt idx="170">
                  <c:v>23034.999999999669</c:v>
                </c:pt>
                <c:pt idx="171">
                  <c:v>23103.333333332987</c:v>
                </c:pt>
                <c:pt idx="172">
                  <c:v>23171.666666666304</c:v>
                </c:pt>
                <c:pt idx="173">
                  <c:v>23239.999999999622</c:v>
                </c:pt>
                <c:pt idx="174">
                  <c:v>23308.333333332939</c:v>
                </c:pt>
                <c:pt idx="175">
                  <c:v>23376.666666666257</c:v>
                </c:pt>
                <c:pt idx="176">
                  <c:v>23444.999999999574</c:v>
                </c:pt>
                <c:pt idx="177">
                  <c:v>23513.333333332892</c:v>
                </c:pt>
                <c:pt idx="178">
                  <c:v>23581.666666666209</c:v>
                </c:pt>
                <c:pt idx="179">
                  <c:v>23649.999999999527</c:v>
                </c:pt>
                <c:pt idx="180">
                  <c:v>23718.333333332845</c:v>
                </c:pt>
                <c:pt idx="181">
                  <c:v>23786.666666666162</c:v>
                </c:pt>
                <c:pt idx="182">
                  <c:v>23854.99999999948</c:v>
                </c:pt>
                <c:pt idx="183">
                  <c:v>23923.333333332797</c:v>
                </c:pt>
                <c:pt idx="184">
                  <c:v>23991.666666666115</c:v>
                </c:pt>
                <c:pt idx="185">
                  <c:v>24059.999999999432</c:v>
                </c:pt>
                <c:pt idx="186">
                  <c:v>24128.33333333275</c:v>
                </c:pt>
                <c:pt idx="187">
                  <c:v>24196.666666666068</c:v>
                </c:pt>
                <c:pt idx="188">
                  <c:v>24264.999999999385</c:v>
                </c:pt>
                <c:pt idx="189">
                  <c:v>24333.333333332703</c:v>
                </c:pt>
                <c:pt idx="190">
                  <c:v>24401.66666666602</c:v>
                </c:pt>
                <c:pt idx="191">
                  <c:v>24469.999999999338</c:v>
                </c:pt>
                <c:pt idx="192">
                  <c:v>24538.333333332655</c:v>
                </c:pt>
                <c:pt idx="193">
                  <c:v>24606.666666665973</c:v>
                </c:pt>
                <c:pt idx="194">
                  <c:v>24674.999999999291</c:v>
                </c:pt>
                <c:pt idx="195">
                  <c:v>24743.333333332608</c:v>
                </c:pt>
                <c:pt idx="196">
                  <c:v>24811.666666665926</c:v>
                </c:pt>
                <c:pt idx="197">
                  <c:v>24879.999999999243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'Temp Corr'!$M$84</c:f>
              <c:strCache>
                <c:ptCount val="1"/>
                <c:pt idx="0">
                  <c:v>MSZ-GE24NA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Corr'!$M$85:$M$282</c:f>
              <c:numCache>
                <c:formatCode>0</c:formatCode>
                <c:ptCount val="198"/>
                <c:pt idx="37">
                  <c:v>6640</c:v>
                </c:pt>
                <c:pt idx="38">
                  <c:v>6835</c:v>
                </c:pt>
                <c:pt idx="39">
                  <c:v>7030</c:v>
                </c:pt>
                <c:pt idx="40">
                  <c:v>7225</c:v>
                </c:pt>
                <c:pt idx="41">
                  <c:v>7420</c:v>
                </c:pt>
                <c:pt idx="42">
                  <c:v>7615</c:v>
                </c:pt>
                <c:pt idx="43">
                  <c:v>7810</c:v>
                </c:pt>
                <c:pt idx="44">
                  <c:v>8005</c:v>
                </c:pt>
                <c:pt idx="45">
                  <c:v>8200</c:v>
                </c:pt>
                <c:pt idx="46">
                  <c:v>8395</c:v>
                </c:pt>
                <c:pt idx="47">
                  <c:v>8590</c:v>
                </c:pt>
                <c:pt idx="48">
                  <c:v>8785</c:v>
                </c:pt>
                <c:pt idx="49">
                  <c:v>8980</c:v>
                </c:pt>
                <c:pt idx="50">
                  <c:v>9175</c:v>
                </c:pt>
                <c:pt idx="51">
                  <c:v>9370</c:v>
                </c:pt>
                <c:pt idx="52">
                  <c:v>9565</c:v>
                </c:pt>
                <c:pt idx="53">
                  <c:v>9760</c:v>
                </c:pt>
                <c:pt idx="54">
                  <c:v>9955</c:v>
                </c:pt>
                <c:pt idx="55">
                  <c:v>10150</c:v>
                </c:pt>
                <c:pt idx="56">
                  <c:v>10345</c:v>
                </c:pt>
                <c:pt idx="57">
                  <c:v>10540</c:v>
                </c:pt>
                <c:pt idx="58">
                  <c:v>10735</c:v>
                </c:pt>
                <c:pt idx="59">
                  <c:v>10930</c:v>
                </c:pt>
                <c:pt idx="60">
                  <c:v>11125</c:v>
                </c:pt>
                <c:pt idx="61">
                  <c:v>11320</c:v>
                </c:pt>
                <c:pt idx="62">
                  <c:v>11515</c:v>
                </c:pt>
                <c:pt idx="63">
                  <c:v>11710</c:v>
                </c:pt>
                <c:pt idx="64">
                  <c:v>11905</c:v>
                </c:pt>
                <c:pt idx="65" formatCode="General">
                  <c:v>12100</c:v>
                </c:pt>
                <c:pt idx="66">
                  <c:v>12262.5</c:v>
                </c:pt>
                <c:pt idx="67">
                  <c:v>12425</c:v>
                </c:pt>
                <c:pt idx="68">
                  <c:v>12587.5</c:v>
                </c:pt>
                <c:pt idx="69">
                  <c:v>12750</c:v>
                </c:pt>
                <c:pt idx="70">
                  <c:v>12912.5</c:v>
                </c:pt>
                <c:pt idx="71">
                  <c:v>13075</c:v>
                </c:pt>
                <c:pt idx="72">
                  <c:v>13237.5</c:v>
                </c:pt>
                <c:pt idx="73">
                  <c:v>13400</c:v>
                </c:pt>
                <c:pt idx="74">
                  <c:v>13562.5</c:v>
                </c:pt>
                <c:pt idx="75">
                  <c:v>13725</c:v>
                </c:pt>
                <c:pt idx="76">
                  <c:v>13887.5</c:v>
                </c:pt>
                <c:pt idx="77">
                  <c:v>14050</c:v>
                </c:pt>
                <c:pt idx="78">
                  <c:v>14212.5</c:v>
                </c:pt>
                <c:pt idx="79">
                  <c:v>14375</c:v>
                </c:pt>
                <c:pt idx="80">
                  <c:v>14537.5</c:v>
                </c:pt>
                <c:pt idx="81">
                  <c:v>14700</c:v>
                </c:pt>
                <c:pt idx="82">
                  <c:v>14862.5</c:v>
                </c:pt>
                <c:pt idx="83">
                  <c:v>15025</c:v>
                </c:pt>
                <c:pt idx="84">
                  <c:v>15187.5</c:v>
                </c:pt>
                <c:pt idx="85">
                  <c:v>15350</c:v>
                </c:pt>
                <c:pt idx="86">
                  <c:v>15512.5</c:v>
                </c:pt>
                <c:pt idx="87">
                  <c:v>15675</c:v>
                </c:pt>
                <c:pt idx="88">
                  <c:v>15837.5</c:v>
                </c:pt>
                <c:pt idx="89" formatCode="General">
                  <c:v>16000</c:v>
                </c:pt>
                <c:pt idx="90">
                  <c:v>16193.333333333334</c:v>
                </c:pt>
                <c:pt idx="91">
                  <c:v>16386.666666666668</c:v>
                </c:pt>
                <c:pt idx="92">
                  <c:v>16580</c:v>
                </c:pt>
                <c:pt idx="93">
                  <c:v>16773.333333333332</c:v>
                </c:pt>
                <c:pt idx="94">
                  <c:v>16966.666666666664</c:v>
                </c:pt>
                <c:pt idx="95">
                  <c:v>17159.999999999996</c:v>
                </c:pt>
                <c:pt idx="96">
                  <c:v>17353.333333333328</c:v>
                </c:pt>
                <c:pt idx="97">
                  <c:v>17546.666666666661</c:v>
                </c:pt>
                <c:pt idx="98">
                  <c:v>17739.999999999993</c:v>
                </c:pt>
                <c:pt idx="99">
                  <c:v>17933.333333333325</c:v>
                </c:pt>
                <c:pt idx="100">
                  <c:v>18126.666666666657</c:v>
                </c:pt>
                <c:pt idx="101">
                  <c:v>18319.999999999989</c:v>
                </c:pt>
                <c:pt idx="102">
                  <c:v>18513.333333333321</c:v>
                </c:pt>
                <c:pt idx="103">
                  <c:v>18706.666666666653</c:v>
                </c:pt>
                <c:pt idx="104">
                  <c:v>18899.999999999985</c:v>
                </c:pt>
                <c:pt idx="105">
                  <c:v>19093.333333333318</c:v>
                </c:pt>
                <c:pt idx="106">
                  <c:v>19286.66666666665</c:v>
                </c:pt>
                <c:pt idx="107">
                  <c:v>19479.999999999982</c:v>
                </c:pt>
                <c:pt idx="108">
                  <c:v>19673.333333333314</c:v>
                </c:pt>
                <c:pt idx="109">
                  <c:v>19866.666666666646</c:v>
                </c:pt>
                <c:pt idx="110">
                  <c:v>20059.999999999978</c:v>
                </c:pt>
                <c:pt idx="111">
                  <c:v>20253.33333333331</c:v>
                </c:pt>
                <c:pt idx="112">
                  <c:v>20446.666666666642</c:v>
                </c:pt>
                <c:pt idx="113">
                  <c:v>20639.999999999975</c:v>
                </c:pt>
                <c:pt idx="114">
                  <c:v>20833.333333333307</c:v>
                </c:pt>
                <c:pt idx="115">
                  <c:v>21026.666666666639</c:v>
                </c:pt>
                <c:pt idx="116">
                  <c:v>21219.999999999971</c:v>
                </c:pt>
                <c:pt idx="117">
                  <c:v>21413.333333333303</c:v>
                </c:pt>
                <c:pt idx="118">
                  <c:v>21606.666666666635</c:v>
                </c:pt>
                <c:pt idx="119">
                  <c:v>21799.999999999967</c:v>
                </c:pt>
                <c:pt idx="120">
                  <c:v>21993.333333333299</c:v>
                </c:pt>
                <c:pt idx="121">
                  <c:v>22186.666666666631</c:v>
                </c:pt>
                <c:pt idx="122">
                  <c:v>22379.999999999964</c:v>
                </c:pt>
                <c:pt idx="123">
                  <c:v>22573.333333333296</c:v>
                </c:pt>
                <c:pt idx="124">
                  <c:v>22766.666666666628</c:v>
                </c:pt>
                <c:pt idx="125">
                  <c:v>22959.99999999996</c:v>
                </c:pt>
                <c:pt idx="126">
                  <c:v>23153.333333333292</c:v>
                </c:pt>
                <c:pt idx="127">
                  <c:v>23346.666666666624</c:v>
                </c:pt>
                <c:pt idx="128">
                  <c:v>23539.999999999956</c:v>
                </c:pt>
                <c:pt idx="129">
                  <c:v>23733.333333333288</c:v>
                </c:pt>
                <c:pt idx="130">
                  <c:v>23926.666666666621</c:v>
                </c:pt>
                <c:pt idx="131">
                  <c:v>24119.999999999953</c:v>
                </c:pt>
                <c:pt idx="132">
                  <c:v>24313.333333333285</c:v>
                </c:pt>
                <c:pt idx="133">
                  <c:v>24506.666666666617</c:v>
                </c:pt>
                <c:pt idx="134">
                  <c:v>24699.999999999949</c:v>
                </c:pt>
                <c:pt idx="135">
                  <c:v>24893.333333333281</c:v>
                </c:pt>
                <c:pt idx="136">
                  <c:v>25086.666666666613</c:v>
                </c:pt>
                <c:pt idx="137">
                  <c:v>25279.999999999945</c:v>
                </c:pt>
                <c:pt idx="138">
                  <c:v>25473.333333333278</c:v>
                </c:pt>
                <c:pt idx="139">
                  <c:v>25666.66666666661</c:v>
                </c:pt>
                <c:pt idx="140">
                  <c:v>25859.999999999942</c:v>
                </c:pt>
                <c:pt idx="141">
                  <c:v>26053.333333333274</c:v>
                </c:pt>
                <c:pt idx="142">
                  <c:v>26246.666666666606</c:v>
                </c:pt>
                <c:pt idx="143">
                  <c:v>26439.999999999938</c:v>
                </c:pt>
                <c:pt idx="144">
                  <c:v>26633.33333333327</c:v>
                </c:pt>
                <c:pt idx="145">
                  <c:v>26826.666666666602</c:v>
                </c:pt>
                <c:pt idx="146">
                  <c:v>27019.999999999935</c:v>
                </c:pt>
                <c:pt idx="147">
                  <c:v>27213.333333333267</c:v>
                </c:pt>
                <c:pt idx="148">
                  <c:v>27406.666666666599</c:v>
                </c:pt>
                <c:pt idx="149" formatCode="General">
                  <c:v>27600</c:v>
                </c:pt>
                <c:pt idx="150">
                  <c:v>27696.666666666701</c:v>
                </c:pt>
                <c:pt idx="151">
                  <c:v>27793.333333333401</c:v>
                </c:pt>
                <c:pt idx="152">
                  <c:v>27890.000000000102</c:v>
                </c:pt>
                <c:pt idx="153">
                  <c:v>27986.666666666802</c:v>
                </c:pt>
                <c:pt idx="154">
                  <c:v>28083.333333333503</c:v>
                </c:pt>
                <c:pt idx="155">
                  <c:v>28180.000000000204</c:v>
                </c:pt>
                <c:pt idx="156">
                  <c:v>28276.666666666904</c:v>
                </c:pt>
                <c:pt idx="157">
                  <c:v>28373.333333333605</c:v>
                </c:pt>
                <c:pt idx="158">
                  <c:v>28470.000000000306</c:v>
                </c:pt>
                <c:pt idx="159">
                  <c:v>28566.666666667006</c:v>
                </c:pt>
                <c:pt idx="160">
                  <c:v>28663.333333333707</c:v>
                </c:pt>
                <c:pt idx="161">
                  <c:v>28760.000000000407</c:v>
                </c:pt>
                <c:pt idx="162">
                  <c:v>28856.666666667108</c:v>
                </c:pt>
                <c:pt idx="163">
                  <c:v>28953.333333333809</c:v>
                </c:pt>
                <c:pt idx="164">
                  <c:v>29050.000000000509</c:v>
                </c:pt>
                <c:pt idx="165">
                  <c:v>29146.66666666721</c:v>
                </c:pt>
                <c:pt idx="166">
                  <c:v>29243.333333333911</c:v>
                </c:pt>
                <c:pt idx="167">
                  <c:v>29340.000000000611</c:v>
                </c:pt>
                <c:pt idx="168">
                  <c:v>29436.666666667312</c:v>
                </c:pt>
                <c:pt idx="169">
                  <c:v>29533.333333334012</c:v>
                </c:pt>
                <c:pt idx="170">
                  <c:v>29630.000000000713</c:v>
                </c:pt>
                <c:pt idx="171">
                  <c:v>29726.666666667414</c:v>
                </c:pt>
                <c:pt idx="172">
                  <c:v>29823.333333334114</c:v>
                </c:pt>
                <c:pt idx="173">
                  <c:v>29920.000000000815</c:v>
                </c:pt>
                <c:pt idx="174">
                  <c:v>30016.666666667516</c:v>
                </c:pt>
                <c:pt idx="175">
                  <c:v>30113.333333334216</c:v>
                </c:pt>
                <c:pt idx="176">
                  <c:v>30210.000000000917</c:v>
                </c:pt>
                <c:pt idx="177">
                  <c:v>30306.666666667617</c:v>
                </c:pt>
                <c:pt idx="178">
                  <c:v>30403.333333334318</c:v>
                </c:pt>
                <c:pt idx="179">
                  <c:v>30500.000000001019</c:v>
                </c:pt>
                <c:pt idx="180">
                  <c:v>30596.666666667719</c:v>
                </c:pt>
                <c:pt idx="181">
                  <c:v>30693.33333333442</c:v>
                </c:pt>
                <c:pt idx="182">
                  <c:v>30790.00000000112</c:v>
                </c:pt>
                <c:pt idx="183">
                  <c:v>30886.666666667821</c:v>
                </c:pt>
                <c:pt idx="184">
                  <c:v>30983.333333334522</c:v>
                </c:pt>
                <c:pt idx="185">
                  <c:v>31080.000000001222</c:v>
                </c:pt>
                <c:pt idx="186">
                  <c:v>31176.666666667923</c:v>
                </c:pt>
                <c:pt idx="187">
                  <c:v>31273.333333334624</c:v>
                </c:pt>
                <c:pt idx="188">
                  <c:v>31370.000000001324</c:v>
                </c:pt>
                <c:pt idx="189">
                  <c:v>31466.666666668025</c:v>
                </c:pt>
                <c:pt idx="190">
                  <c:v>31563.333333334725</c:v>
                </c:pt>
                <c:pt idx="191">
                  <c:v>31660.000000001426</c:v>
                </c:pt>
                <c:pt idx="192">
                  <c:v>31756.666666668127</c:v>
                </c:pt>
                <c:pt idx="193">
                  <c:v>31853.333333334827</c:v>
                </c:pt>
                <c:pt idx="194">
                  <c:v>31950.000000001528</c:v>
                </c:pt>
                <c:pt idx="195">
                  <c:v>32046.666666668229</c:v>
                </c:pt>
                <c:pt idx="196">
                  <c:v>32143.333333334929</c:v>
                </c:pt>
                <c:pt idx="197">
                  <c:v>32240.00000000163</c:v>
                </c:pt>
              </c:numCache>
            </c:numRef>
          </c:yVal>
          <c:smooth val="1"/>
        </c:ser>
        <c:ser>
          <c:idx val="12"/>
          <c:order val="12"/>
          <c:tx>
            <c:strRef>
              <c:f>'Temp Corr'!$N$84</c:f>
              <c:strCache>
                <c:ptCount val="1"/>
                <c:pt idx="0">
                  <c:v>MSZ-GL09NA-U1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Corr'!$N$85:$N$282</c:f>
              <c:numCache>
                <c:formatCode>0</c:formatCode>
                <c:ptCount val="198"/>
                <c:pt idx="37">
                  <c:v>4519.0000000000009</c:v>
                </c:pt>
                <c:pt idx="38">
                  <c:v>4677.5000000000009</c:v>
                </c:pt>
                <c:pt idx="39">
                  <c:v>4836.0000000000009</c:v>
                </c:pt>
                <c:pt idx="40">
                  <c:v>4994.5000000000009</c:v>
                </c:pt>
                <c:pt idx="41">
                  <c:v>5153.0000000000009</c:v>
                </c:pt>
                <c:pt idx="42">
                  <c:v>5311.5000000000009</c:v>
                </c:pt>
                <c:pt idx="43">
                  <c:v>5470.0000000000009</c:v>
                </c:pt>
                <c:pt idx="44">
                  <c:v>5628.5000000000009</c:v>
                </c:pt>
                <c:pt idx="45">
                  <c:v>5787.0000000000009</c:v>
                </c:pt>
                <c:pt idx="46">
                  <c:v>5945.5000000000009</c:v>
                </c:pt>
                <c:pt idx="47">
                  <c:v>6104.0000000000009</c:v>
                </c:pt>
                <c:pt idx="48">
                  <c:v>6188.7777777777837</c:v>
                </c:pt>
                <c:pt idx="49">
                  <c:v>6273.5555555555611</c:v>
                </c:pt>
                <c:pt idx="50">
                  <c:v>6358.3333333333385</c:v>
                </c:pt>
                <c:pt idx="51">
                  <c:v>6443.1111111111159</c:v>
                </c:pt>
                <c:pt idx="52">
                  <c:v>6527.8888888888932</c:v>
                </c:pt>
                <c:pt idx="53">
                  <c:v>6612.6666666666706</c:v>
                </c:pt>
                <c:pt idx="54">
                  <c:v>6697.444444444448</c:v>
                </c:pt>
                <c:pt idx="55">
                  <c:v>6782.2222222222254</c:v>
                </c:pt>
                <c:pt idx="56">
                  <c:v>6867.0000000000027</c:v>
                </c:pt>
                <c:pt idx="57">
                  <c:v>6951.7777777777801</c:v>
                </c:pt>
                <c:pt idx="58">
                  <c:v>7036.5555555555575</c:v>
                </c:pt>
                <c:pt idx="59">
                  <c:v>7121.3333333333348</c:v>
                </c:pt>
                <c:pt idx="60">
                  <c:v>7206.1111111111122</c:v>
                </c:pt>
                <c:pt idx="61">
                  <c:v>7290.8888888888896</c:v>
                </c:pt>
                <c:pt idx="62">
                  <c:v>7375.666666666667</c:v>
                </c:pt>
                <c:pt idx="63">
                  <c:v>7460.4444444444443</c:v>
                </c:pt>
                <c:pt idx="64">
                  <c:v>7545.2222222222217</c:v>
                </c:pt>
                <c:pt idx="65" formatCode="General">
                  <c:v>7629.9999999999991</c:v>
                </c:pt>
                <c:pt idx="66">
                  <c:v>7762.0833333333321</c:v>
                </c:pt>
                <c:pt idx="67">
                  <c:v>7894.1666666666652</c:v>
                </c:pt>
                <c:pt idx="68">
                  <c:v>8026.2499999999982</c:v>
                </c:pt>
                <c:pt idx="69">
                  <c:v>8158.3333333333312</c:v>
                </c:pt>
                <c:pt idx="70">
                  <c:v>8290.4166666666642</c:v>
                </c:pt>
                <c:pt idx="71">
                  <c:v>8422.4999999999982</c:v>
                </c:pt>
                <c:pt idx="72">
                  <c:v>8554.5833333333321</c:v>
                </c:pt>
                <c:pt idx="73">
                  <c:v>8686.6666666666661</c:v>
                </c:pt>
                <c:pt idx="74">
                  <c:v>8818.75</c:v>
                </c:pt>
                <c:pt idx="75">
                  <c:v>8950.8333333333339</c:v>
                </c:pt>
                <c:pt idx="76">
                  <c:v>9082.9166666666679</c:v>
                </c:pt>
                <c:pt idx="77">
                  <c:v>9215.0000000000018</c:v>
                </c:pt>
                <c:pt idx="78">
                  <c:v>9347.0833333333358</c:v>
                </c:pt>
                <c:pt idx="79">
                  <c:v>9479.1666666666697</c:v>
                </c:pt>
                <c:pt idx="80">
                  <c:v>9611.2500000000036</c:v>
                </c:pt>
                <c:pt idx="81">
                  <c:v>9743.3333333333376</c:v>
                </c:pt>
                <c:pt idx="82">
                  <c:v>9875.4166666666715</c:v>
                </c:pt>
                <c:pt idx="83">
                  <c:v>10007.500000000005</c:v>
                </c:pt>
                <c:pt idx="84">
                  <c:v>10139.583333333339</c:v>
                </c:pt>
                <c:pt idx="85">
                  <c:v>10271.666666666673</c:v>
                </c:pt>
                <c:pt idx="86">
                  <c:v>10403.750000000007</c:v>
                </c:pt>
                <c:pt idx="87">
                  <c:v>10535.833333333341</c:v>
                </c:pt>
                <c:pt idx="88">
                  <c:v>10667.916666666675</c:v>
                </c:pt>
                <c:pt idx="89" formatCode="General">
                  <c:v>10800</c:v>
                </c:pt>
                <c:pt idx="90">
                  <c:v>10855</c:v>
                </c:pt>
                <c:pt idx="91">
                  <c:v>10910</c:v>
                </c:pt>
                <c:pt idx="92">
                  <c:v>10965</c:v>
                </c:pt>
                <c:pt idx="93">
                  <c:v>11020</c:v>
                </c:pt>
                <c:pt idx="94">
                  <c:v>11075</c:v>
                </c:pt>
                <c:pt idx="95">
                  <c:v>11130</c:v>
                </c:pt>
                <c:pt idx="96">
                  <c:v>11185</c:v>
                </c:pt>
                <c:pt idx="97">
                  <c:v>11240</c:v>
                </c:pt>
                <c:pt idx="98">
                  <c:v>11295</c:v>
                </c:pt>
                <c:pt idx="99">
                  <c:v>11350</c:v>
                </c:pt>
                <c:pt idx="100">
                  <c:v>11405</c:v>
                </c:pt>
                <c:pt idx="101">
                  <c:v>11460</c:v>
                </c:pt>
                <c:pt idx="102">
                  <c:v>11515</c:v>
                </c:pt>
                <c:pt idx="103">
                  <c:v>11570</c:v>
                </c:pt>
                <c:pt idx="104">
                  <c:v>11625</c:v>
                </c:pt>
                <c:pt idx="105">
                  <c:v>11680</c:v>
                </c:pt>
                <c:pt idx="106">
                  <c:v>11735</c:v>
                </c:pt>
                <c:pt idx="107">
                  <c:v>11790</c:v>
                </c:pt>
                <c:pt idx="108">
                  <c:v>11845</c:v>
                </c:pt>
                <c:pt idx="109">
                  <c:v>11900</c:v>
                </c:pt>
                <c:pt idx="110">
                  <c:v>11955</c:v>
                </c:pt>
                <c:pt idx="111">
                  <c:v>12010</c:v>
                </c:pt>
                <c:pt idx="112">
                  <c:v>12065</c:v>
                </c:pt>
                <c:pt idx="113">
                  <c:v>12120</c:v>
                </c:pt>
                <c:pt idx="114">
                  <c:v>12175</c:v>
                </c:pt>
                <c:pt idx="115">
                  <c:v>12230</c:v>
                </c:pt>
                <c:pt idx="116">
                  <c:v>12285</c:v>
                </c:pt>
                <c:pt idx="117">
                  <c:v>12340</c:v>
                </c:pt>
                <c:pt idx="118">
                  <c:v>12395</c:v>
                </c:pt>
                <c:pt idx="119">
                  <c:v>12450</c:v>
                </c:pt>
                <c:pt idx="120">
                  <c:v>12505</c:v>
                </c:pt>
                <c:pt idx="121">
                  <c:v>12560</c:v>
                </c:pt>
                <c:pt idx="122">
                  <c:v>12615</c:v>
                </c:pt>
                <c:pt idx="123">
                  <c:v>12670</c:v>
                </c:pt>
                <c:pt idx="124">
                  <c:v>12725</c:v>
                </c:pt>
                <c:pt idx="125">
                  <c:v>12780</c:v>
                </c:pt>
                <c:pt idx="126">
                  <c:v>12835</c:v>
                </c:pt>
                <c:pt idx="127">
                  <c:v>12890</c:v>
                </c:pt>
                <c:pt idx="128">
                  <c:v>12945</c:v>
                </c:pt>
                <c:pt idx="129">
                  <c:v>13000</c:v>
                </c:pt>
                <c:pt idx="130">
                  <c:v>13055</c:v>
                </c:pt>
                <c:pt idx="131">
                  <c:v>13110</c:v>
                </c:pt>
                <c:pt idx="132">
                  <c:v>13165</c:v>
                </c:pt>
                <c:pt idx="133">
                  <c:v>13220</c:v>
                </c:pt>
                <c:pt idx="134">
                  <c:v>13275</c:v>
                </c:pt>
                <c:pt idx="135">
                  <c:v>13330</c:v>
                </c:pt>
                <c:pt idx="136">
                  <c:v>13385</c:v>
                </c:pt>
                <c:pt idx="137">
                  <c:v>13440</c:v>
                </c:pt>
                <c:pt idx="138">
                  <c:v>13495</c:v>
                </c:pt>
                <c:pt idx="139">
                  <c:v>13550</c:v>
                </c:pt>
                <c:pt idx="140">
                  <c:v>13605</c:v>
                </c:pt>
                <c:pt idx="141">
                  <c:v>13660</c:v>
                </c:pt>
                <c:pt idx="142">
                  <c:v>13715</c:v>
                </c:pt>
                <c:pt idx="143">
                  <c:v>13770</c:v>
                </c:pt>
                <c:pt idx="144">
                  <c:v>13825</c:v>
                </c:pt>
                <c:pt idx="145">
                  <c:v>13880</c:v>
                </c:pt>
                <c:pt idx="146">
                  <c:v>13935</c:v>
                </c:pt>
                <c:pt idx="147">
                  <c:v>13990</c:v>
                </c:pt>
                <c:pt idx="148">
                  <c:v>14045</c:v>
                </c:pt>
                <c:pt idx="149" formatCode="General">
                  <c:v>14100</c:v>
                </c:pt>
                <c:pt idx="150">
                  <c:v>14127.5</c:v>
                </c:pt>
                <c:pt idx="151">
                  <c:v>14155</c:v>
                </c:pt>
                <c:pt idx="152">
                  <c:v>14182.5</c:v>
                </c:pt>
                <c:pt idx="153">
                  <c:v>14210</c:v>
                </c:pt>
                <c:pt idx="154">
                  <c:v>14237.5</c:v>
                </c:pt>
                <c:pt idx="155">
                  <c:v>14265</c:v>
                </c:pt>
                <c:pt idx="156">
                  <c:v>14292.5</c:v>
                </c:pt>
                <c:pt idx="157">
                  <c:v>14320</c:v>
                </c:pt>
                <c:pt idx="158">
                  <c:v>14347.5</c:v>
                </c:pt>
                <c:pt idx="159">
                  <c:v>14375</c:v>
                </c:pt>
                <c:pt idx="160">
                  <c:v>14402.5</c:v>
                </c:pt>
                <c:pt idx="161">
                  <c:v>14430</c:v>
                </c:pt>
                <c:pt idx="162">
                  <c:v>14457.5</c:v>
                </c:pt>
                <c:pt idx="163">
                  <c:v>14485</c:v>
                </c:pt>
                <c:pt idx="164">
                  <c:v>14512.5</c:v>
                </c:pt>
                <c:pt idx="165">
                  <c:v>14540</c:v>
                </c:pt>
                <c:pt idx="166">
                  <c:v>14567.5</c:v>
                </c:pt>
                <c:pt idx="167">
                  <c:v>14595</c:v>
                </c:pt>
                <c:pt idx="168">
                  <c:v>14622.5</c:v>
                </c:pt>
                <c:pt idx="169">
                  <c:v>14650</c:v>
                </c:pt>
                <c:pt idx="170">
                  <c:v>14677.5</c:v>
                </c:pt>
                <c:pt idx="171">
                  <c:v>14705</c:v>
                </c:pt>
                <c:pt idx="172">
                  <c:v>14732.5</c:v>
                </c:pt>
                <c:pt idx="173">
                  <c:v>14760</c:v>
                </c:pt>
                <c:pt idx="174">
                  <c:v>14787.5</c:v>
                </c:pt>
                <c:pt idx="175">
                  <c:v>14815</c:v>
                </c:pt>
                <c:pt idx="176">
                  <c:v>14842.5</c:v>
                </c:pt>
                <c:pt idx="177">
                  <c:v>14870</c:v>
                </c:pt>
                <c:pt idx="178">
                  <c:v>14897.5</c:v>
                </c:pt>
                <c:pt idx="179">
                  <c:v>14925</c:v>
                </c:pt>
                <c:pt idx="180">
                  <c:v>14952.5</c:v>
                </c:pt>
                <c:pt idx="181">
                  <c:v>14980</c:v>
                </c:pt>
                <c:pt idx="182">
                  <c:v>15007.5</c:v>
                </c:pt>
                <c:pt idx="183">
                  <c:v>15035</c:v>
                </c:pt>
                <c:pt idx="184">
                  <c:v>15062.5</c:v>
                </c:pt>
                <c:pt idx="185">
                  <c:v>15090</c:v>
                </c:pt>
                <c:pt idx="186">
                  <c:v>15117.5</c:v>
                </c:pt>
                <c:pt idx="187">
                  <c:v>15145</c:v>
                </c:pt>
                <c:pt idx="188">
                  <c:v>15172.5</c:v>
                </c:pt>
                <c:pt idx="189">
                  <c:v>15200</c:v>
                </c:pt>
                <c:pt idx="190">
                  <c:v>15227.5</c:v>
                </c:pt>
                <c:pt idx="191">
                  <c:v>15255</c:v>
                </c:pt>
                <c:pt idx="192">
                  <c:v>15282.5</c:v>
                </c:pt>
                <c:pt idx="193">
                  <c:v>15310</c:v>
                </c:pt>
                <c:pt idx="194">
                  <c:v>15337.5</c:v>
                </c:pt>
                <c:pt idx="195">
                  <c:v>15365</c:v>
                </c:pt>
                <c:pt idx="196">
                  <c:v>15392.5</c:v>
                </c:pt>
                <c:pt idx="197">
                  <c:v>15420</c:v>
                </c:pt>
              </c:numCache>
            </c:numRef>
          </c:yVal>
          <c:smooth val="1"/>
        </c:ser>
        <c:ser>
          <c:idx val="13"/>
          <c:order val="13"/>
          <c:tx>
            <c:strRef>
              <c:f>'Temp Corr'!$O$84</c:f>
              <c:strCache>
                <c:ptCount val="1"/>
                <c:pt idx="0">
                  <c:v>MSZ-GL12NA-U1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Corr'!$O$85:$O$282</c:f>
              <c:numCache>
                <c:formatCode>0</c:formatCode>
                <c:ptCount val="198"/>
                <c:pt idx="37">
                  <c:v>6816.0000000000045</c:v>
                </c:pt>
                <c:pt idx="38">
                  <c:v>6926.4000000000042</c:v>
                </c:pt>
                <c:pt idx="39">
                  <c:v>7036.8000000000038</c:v>
                </c:pt>
                <c:pt idx="40">
                  <c:v>7147.2000000000035</c:v>
                </c:pt>
                <c:pt idx="41">
                  <c:v>7257.6000000000031</c:v>
                </c:pt>
                <c:pt idx="42">
                  <c:v>7368.0000000000027</c:v>
                </c:pt>
                <c:pt idx="43">
                  <c:v>7478.4000000000024</c:v>
                </c:pt>
                <c:pt idx="44">
                  <c:v>7588.800000000002</c:v>
                </c:pt>
                <c:pt idx="45">
                  <c:v>7699.2000000000016</c:v>
                </c:pt>
                <c:pt idx="46">
                  <c:v>7809.6000000000013</c:v>
                </c:pt>
                <c:pt idx="47">
                  <c:v>7920.0000000000009</c:v>
                </c:pt>
                <c:pt idx="48">
                  <c:v>8350.7777777777846</c:v>
                </c:pt>
                <c:pt idx="49">
                  <c:v>8435.555555555562</c:v>
                </c:pt>
                <c:pt idx="50">
                  <c:v>8520.3333333333394</c:v>
                </c:pt>
                <c:pt idx="51">
                  <c:v>8605.1111111111168</c:v>
                </c:pt>
                <c:pt idx="52">
                  <c:v>8689.8888888888941</c:v>
                </c:pt>
                <c:pt idx="53">
                  <c:v>8774.6666666666715</c:v>
                </c:pt>
                <c:pt idx="54">
                  <c:v>8859.4444444444489</c:v>
                </c:pt>
                <c:pt idx="55">
                  <c:v>8944.2222222222263</c:v>
                </c:pt>
                <c:pt idx="56">
                  <c:v>9029.0000000000036</c:v>
                </c:pt>
                <c:pt idx="57">
                  <c:v>9113.777777777781</c:v>
                </c:pt>
                <c:pt idx="58">
                  <c:v>9198.5555555555584</c:v>
                </c:pt>
                <c:pt idx="59">
                  <c:v>9283.3333333333358</c:v>
                </c:pt>
                <c:pt idx="60">
                  <c:v>9368.1111111111131</c:v>
                </c:pt>
                <c:pt idx="61">
                  <c:v>9452.8888888888905</c:v>
                </c:pt>
                <c:pt idx="62">
                  <c:v>9537.6666666666679</c:v>
                </c:pt>
                <c:pt idx="63">
                  <c:v>9622.4444444444453</c:v>
                </c:pt>
                <c:pt idx="64">
                  <c:v>9707.2222222222226</c:v>
                </c:pt>
                <c:pt idx="65" formatCode="General">
                  <c:v>9792</c:v>
                </c:pt>
                <c:pt idx="66">
                  <c:v>9884</c:v>
                </c:pt>
                <c:pt idx="67">
                  <c:v>9976</c:v>
                </c:pt>
                <c:pt idx="68">
                  <c:v>10068</c:v>
                </c:pt>
                <c:pt idx="69">
                  <c:v>10160</c:v>
                </c:pt>
                <c:pt idx="70">
                  <c:v>10252</c:v>
                </c:pt>
                <c:pt idx="71">
                  <c:v>10344</c:v>
                </c:pt>
                <c:pt idx="72">
                  <c:v>10436</c:v>
                </c:pt>
                <c:pt idx="73">
                  <c:v>10528</c:v>
                </c:pt>
                <c:pt idx="74">
                  <c:v>10620</c:v>
                </c:pt>
                <c:pt idx="75">
                  <c:v>10712</c:v>
                </c:pt>
                <c:pt idx="76">
                  <c:v>10804</c:v>
                </c:pt>
                <c:pt idx="77">
                  <c:v>10896</c:v>
                </c:pt>
                <c:pt idx="78">
                  <c:v>10988</c:v>
                </c:pt>
                <c:pt idx="79">
                  <c:v>11080</c:v>
                </c:pt>
                <c:pt idx="80">
                  <c:v>11172</c:v>
                </c:pt>
                <c:pt idx="81">
                  <c:v>11264</c:v>
                </c:pt>
                <c:pt idx="82">
                  <c:v>11356</c:v>
                </c:pt>
                <c:pt idx="83">
                  <c:v>11448</c:v>
                </c:pt>
                <c:pt idx="84">
                  <c:v>11540</c:v>
                </c:pt>
                <c:pt idx="85">
                  <c:v>11632</c:v>
                </c:pt>
                <c:pt idx="86">
                  <c:v>11724</c:v>
                </c:pt>
                <c:pt idx="87">
                  <c:v>11816</c:v>
                </c:pt>
                <c:pt idx="88">
                  <c:v>11908</c:v>
                </c:pt>
                <c:pt idx="89" formatCode="General">
                  <c:v>12000</c:v>
                </c:pt>
                <c:pt idx="90">
                  <c:v>12101.666666666666</c:v>
                </c:pt>
                <c:pt idx="91">
                  <c:v>12203.333333333332</c:v>
                </c:pt>
                <c:pt idx="92">
                  <c:v>12304.999999999998</c:v>
                </c:pt>
                <c:pt idx="93">
                  <c:v>12406.666666666664</c:v>
                </c:pt>
                <c:pt idx="94">
                  <c:v>12508.33333333333</c:v>
                </c:pt>
                <c:pt idx="95">
                  <c:v>12609.999999999996</c:v>
                </c:pt>
                <c:pt idx="96">
                  <c:v>12711.666666666662</c:v>
                </c:pt>
                <c:pt idx="97">
                  <c:v>12813.333333333328</c:v>
                </c:pt>
                <c:pt idx="98">
                  <c:v>12914.999999999995</c:v>
                </c:pt>
                <c:pt idx="99">
                  <c:v>13016.666666666661</c:v>
                </c:pt>
                <c:pt idx="100">
                  <c:v>13118.333333333327</c:v>
                </c:pt>
                <c:pt idx="101">
                  <c:v>13219.999999999993</c:v>
                </c:pt>
                <c:pt idx="102">
                  <c:v>13321.666666666659</c:v>
                </c:pt>
                <c:pt idx="103">
                  <c:v>13423.333333333325</c:v>
                </c:pt>
                <c:pt idx="104">
                  <c:v>13524.999999999991</c:v>
                </c:pt>
                <c:pt idx="105">
                  <c:v>13626.666666666657</c:v>
                </c:pt>
                <c:pt idx="106">
                  <c:v>13728.333333333323</c:v>
                </c:pt>
                <c:pt idx="107">
                  <c:v>13829.999999999989</c:v>
                </c:pt>
                <c:pt idx="108">
                  <c:v>13931.666666666655</c:v>
                </c:pt>
                <c:pt idx="109">
                  <c:v>14033.333333333321</c:v>
                </c:pt>
                <c:pt idx="110">
                  <c:v>14134.999999999987</c:v>
                </c:pt>
                <c:pt idx="111">
                  <c:v>14236.666666666653</c:v>
                </c:pt>
                <c:pt idx="112">
                  <c:v>14338.333333333319</c:v>
                </c:pt>
                <c:pt idx="113">
                  <c:v>14439.999999999985</c:v>
                </c:pt>
                <c:pt idx="114">
                  <c:v>14541.666666666652</c:v>
                </c:pt>
                <c:pt idx="115">
                  <c:v>14643.333333333318</c:v>
                </c:pt>
                <c:pt idx="116">
                  <c:v>14744.999999999984</c:v>
                </c:pt>
                <c:pt idx="117">
                  <c:v>14846.66666666665</c:v>
                </c:pt>
                <c:pt idx="118">
                  <c:v>14948.333333333316</c:v>
                </c:pt>
                <c:pt idx="119">
                  <c:v>15049.999999999982</c:v>
                </c:pt>
                <c:pt idx="120">
                  <c:v>15151.666666666648</c:v>
                </c:pt>
                <c:pt idx="121">
                  <c:v>15253.333333333314</c:v>
                </c:pt>
                <c:pt idx="122">
                  <c:v>15354.99999999998</c:v>
                </c:pt>
                <c:pt idx="123">
                  <c:v>15456.666666666646</c:v>
                </c:pt>
                <c:pt idx="124">
                  <c:v>15558.333333333312</c:v>
                </c:pt>
                <c:pt idx="125">
                  <c:v>15659.999999999978</c:v>
                </c:pt>
                <c:pt idx="126">
                  <c:v>15761.666666666644</c:v>
                </c:pt>
                <c:pt idx="127">
                  <c:v>15863.33333333331</c:v>
                </c:pt>
                <c:pt idx="128">
                  <c:v>15964.999999999976</c:v>
                </c:pt>
                <c:pt idx="129">
                  <c:v>16066.666666666642</c:v>
                </c:pt>
                <c:pt idx="130">
                  <c:v>16168.333333333308</c:v>
                </c:pt>
                <c:pt idx="131">
                  <c:v>16269.999999999975</c:v>
                </c:pt>
                <c:pt idx="132">
                  <c:v>16371.666666666641</c:v>
                </c:pt>
                <c:pt idx="133">
                  <c:v>16473.333333333307</c:v>
                </c:pt>
                <c:pt idx="134">
                  <c:v>16574.999999999975</c:v>
                </c:pt>
                <c:pt idx="135">
                  <c:v>16676.666666666642</c:v>
                </c:pt>
                <c:pt idx="136">
                  <c:v>16778.33333333331</c:v>
                </c:pt>
                <c:pt idx="137">
                  <c:v>16879.999999999978</c:v>
                </c:pt>
                <c:pt idx="138">
                  <c:v>16981.666666666646</c:v>
                </c:pt>
                <c:pt idx="139">
                  <c:v>17083.333333333314</c:v>
                </c:pt>
                <c:pt idx="140">
                  <c:v>17184.999999999982</c:v>
                </c:pt>
                <c:pt idx="141">
                  <c:v>17286.66666666665</c:v>
                </c:pt>
                <c:pt idx="142">
                  <c:v>17388.333333333318</c:v>
                </c:pt>
                <c:pt idx="143">
                  <c:v>17489.999999999985</c:v>
                </c:pt>
                <c:pt idx="144">
                  <c:v>17591.666666666653</c:v>
                </c:pt>
                <c:pt idx="145">
                  <c:v>17693.333333333321</c:v>
                </c:pt>
                <c:pt idx="146">
                  <c:v>17794.999999999989</c:v>
                </c:pt>
                <c:pt idx="147">
                  <c:v>17896.666666666657</c:v>
                </c:pt>
                <c:pt idx="148">
                  <c:v>17998.333333333325</c:v>
                </c:pt>
                <c:pt idx="149" formatCode="General">
                  <c:v>18100</c:v>
                </c:pt>
                <c:pt idx="150">
                  <c:v>18150.833333333336</c:v>
                </c:pt>
                <c:pt idx="151">
                  <c:v>18201.666666666672</c:v>
                </c:pt>
                <c:pt idx="152">
                  <c:v>18252.500000000007</c:v>
                </c:pt>
                <c:pt idx="153">
                  <c:v>18303.333333333343</c:v>
                </c:pt>
                <c:pt idx="154">
                  <c:v>18354.166666666679</c:v>
                </c:pt>
                <c:pt idx="155">
                  <c:v>18405.000000000015</c:v>
                </c:pt>
                <c:pt idx="156">
                  <c:v>18455.83333333335</c:v>
                </c:pt>
                <c:pt idx="157">
                  <c:v>18506.666666666686</c:v>
                </c:pt>
                <c:pt idx="158">
                  <c:v>18557.500000000022</c:v>
                </c:pt>
                <c:pt idx="159">
                  <c:v>18608.333333333358</c:v>
                </c:pt>
                <c:pt idx="160">
                  <c:v>18659.166666666693</c:v>
                </c:pt>
                <c:pt idx="161">
                  <c:v>18710.000000000029</c:v>
                </c:pt>
                <c:pt idx="162">
                  <c:v>18760.833333333365</c:v>
                </c:pt>
                <c:pt idx="163">
                  <c:v>18811.666666666701</c:v>
                </c:pt>
                <c:pt idx="164">
                  <c:v>18862.500000000036</c:v>
                </c:pt>
                <c:pt idx="165">
                  <c:v>18913.333333333372</c:v>
                </c:pt>
                <c:pt idx="166">
                  <c:v>18964.166666666708</c:v>
                </c:pt>
                <c:pt idx="167">
                  <c:v>19015.000000000044</c:v>
                </c:pt>
                <c:pt idx="168">
                  <c:v>19065.833333333379</c:v>
                </c:pt>
                <c:pt idx="169">
                  <c:v>19116.666666666715</c:v>
                </c:pt>
                <c:pt idx="170">
                  <c:v>19167.500000000051</c:v>
                </c:pt>
                <c:pt idx="171">
                  <c:v>19218.333333333387</c:v>
                </c:pt>
                <c:pt idx="172">
                  <c:v>19269.166666666722</c:v>
                </c:pt>
                <c:pt idx="173">
                  <c:v>19320.000000000058</c:v>
                </c:pt>
                <c:pt idx="174">
                  <c:v>19370.833333333394</c:v>
                </c:pt>
                <c:pt idx="175">
                  <c:v>19421.66666666673</c:v>
                </c:pt>
                <c:pt idx="176">
                  <c:v>19472.500000000065</c:v>
                </c:pt>
                <c:pt idx="177">
                  <c:v>19523.333333333401</c:v>
                </c:pt>
                <c:pt idx="178">
                  <c:v>19574.166666666737</c:v>
                </c:pt>
                <c:pt idx="179">
                  <c:v>19625.000000000073</c:v>
                </c:pt>
                <c:pt idx="180">
                  <c:v>19675.833333333409</c:v>
                </c:pt>
                <c:pt idx="181">
                  <c:v>19726.666666666744</c:v>
                </c:pt>
                <c:pt idx="182">
                  <c:v>19777.50000000008</c:v>
                </c:pt>
                <c:pt idx="183">
                  <c:v>19828.333333333416</c:v>
                </c:pt>
                <c:pt idx="184">
                  <c:v>19879.166666666752</c:v>
                </c:pt>
                <c:pt idx="185">
                  <c:v>19930.000000000087</c:v>
                </c:pt>
                <c:pt idx="186">
                  <c:v>19980.833333333423</c:v>
                </c:pt>
                <c:pt idx="187">
                  <c:v>20031.666666666759</c:v>
                </c:pt>
                <c:pt idx="188">
                  <c:v>20082.500000000095</c:v>
                </c:pt>
                <c:pt idx="189">
                  <c:v>20133.33333333343</c:v>
                </c:pt>
                <c:pt idx="190">
                  <c:v>20184.166666666766</c:v>
                </c:pt>
                <c:pt idx="191">
                  <c:v>20235.000000000102</c:v>
                </c:pt>
                <c:pt idx="192">
                  <c:v>20285.833333333438</c:v>
                </c:pt>
                <c:pt idx="193">
                  <c:v>20336.666666666773</c:v>
                </c:pt>
                <c:pt idx="194">
                  <c:v>20387.500000000109</c:v>
                </c:pt>
                <c:pt idx="195">
                  <c:v>20438.333333333445</c:v>
                </c:pt>
                <c:pt idx="196">
                  <c:v>20489.166666666781</c:v>
                </c:pt>
                <c:pt idx="197">
                  <c:v>20540.000000000116</c:v>
                </c:pt>
              </c:numCache>
            </c:numRef>
          </c:yVal>
          <c:smooth val="1"/>
        </c:ser>
        <c:ser>
          <c:idx val="14"/>
          <c:order val="14"/>
          <c:tx>
            <c:strRef>
              <c:f>'Temp Corr'!$P$84</c:f>
              <c:strCache>
                <c:ptCount val="1"/>
                <c:pt idx="0">
                  <c:v>MSZ-GL15NA-U1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Corr'!$P$85:$P$282</c:f>
              <c:numCache>
                <c:formatCode>0</c:formatCode>
                <c:ptCount val="198"/>
                <c:pt idx="37">
                  <c:v>9800</c:v>
                </c:pt>
                <c:pt idx="38">
                  <c:v>9936</c:v>
                </c:pt>
                <c:pt idx="39">
                  <c:v>10072</c:v>
                </c:pt>
                <c:pt idx="40">
                  <c:v>10208</c:v>
                </c:pt>
                <c:pt idx="41">
                  <c:v>10344</c:v>
                </c:pt>
                <c:pt idx="42">
                  <c:v>10480</c:v>
                </c:pt>
                <c:pt idx="43">
                  <c:v>10616</c:v>
                </c:pt>
                <c:pt idx="44">
                  <c:v>10752</c:v>
                </c:pt>
                <c:pt idx="45">
                  <c:v>10888</c:v>
                </c:pt>
                <c:pt idx="46">
                  <c:v>11024</c:v>
                </c:pt>
                <c:pt idx="47">
                  <c:v>11160</c:v>
                </c:pt>
                <c:pt idx="48">
                  <c:v>12238.777777777785</c:v>
                </c:pt>
                <c:pt idx="49">
                  <c:v>12323.555555555562</c:v>
                </c:pt>
                <c:pt idx="50">
                  <c:v>12408.333333333339</c:v>
                </c:pt>
                <c:pt idx="51">
                  <c:v>12493.111111111117</c:v>
                </c:pt>
                <c:pt idx="52">
                  <c:v>12577.888888888894</c:v>
                </c:pt>
                <c:pt idx="53">
                  <c:v>12662.666666666672</c:v>
                </c:pt>
                <c:pt idx="54">
                  <c:v>12747.444444444449</c:v>
                </c:pt>
                <c:pt idx="55">
                  <c:v>12832.222222222226</c:v>
                </c:pt>
                <c:pt idx="56">
                  <c:v>12917.000000000004</c:v>
                </c:pt>
                <c:pt idx="57">
                  <c:v>13001.777777777781</c:v>
                </c:pt>
                <c:pt idx="58">
                  <c:v>13086.555555555558</c:v>
                </c:pt>
                <c:pt idx="59">
                  <c:v>13171.333333333336</c:v>
                </c:pt>
                <c:pt idx="60">
                  <c:v>13256.111111111113</c:v>
                </c:pt>
                <c:pt idx="61">
                  <c:v>13340.888888888891</c:v>
                </c:pt>
                <c:pt idx="62">
                  <c:v>13425.666666666668</c:v>
                </c:pt>
                <c:pt idx="63">
                  <c:v>13510.444444444445</c:v>
                </c:pt>
                <c:pt idx="64">
                  <c:v>13595.222222222223</c:v>
                </c:pt>
                <c:pt idx="65" formatCode="General">
                  <c:v>13680</c:v>
                </c:pt>
                <c:pt idx="66">
                  <c:v>13793.333333333334</c:v>
                </c:pt>
                <c:pt idx="67">
                  <c:v>13906.666666666668</c:v>
                </c:pt>
                <c:pt idx="68">
                  <c:v>14020.000000000002</c:v>
                </c:pt>
                <c:pt idx="69">
                  <c:v>14133.333333333336</c:v>
                </c:pt>
                <c:pt idx="70">
                  <c:v>14246.66666666667</c:v>
                </c:pt>
                <c:pt idx="71">
                  <c:v>14360.000000000004</c:v>
                </c:pt>
                <c:pt idx="72">
                  <c:v>14473.333333333338</c:v>
                </c:pt>
                <c:pt idx="73">
                  <c:v>14586.666666666672</c:v>
                </c:pt>
                <c:pt idx="74">
                  <c:v>14700.000000000005</c:v>
                </c:pt>
                <c:pt idx="75">
                  <c:v>14813.333333333339</c:v>
                </c:pt>
                <c:pt idx="76">
                  <c:v>14926.666666666673</c:v>
                </c:pt>
                <c:pt idx="77">
                  <c:v>15040.000000000007</c:v>
                </c:pt>
                <c:pt idx="78">
                  <c:v>15153.333333333341</c:v>
                </c:pt>
                <c:pt idx="79">
                  <c:v>15266.666666666675</c:v>
                </c:pt>
                <c:pt idx="80">
                  <c:v>15380.000000000009</c:v>
                </c:pt>
                <c:pt idx="81">
                  <c:v>15493.333333333343</c:v>
                </c:pt>
                <c:pt idx="82">
                  <c:v>15606.666666666677</c:v>
                </c:pt>
                <c:pt idx="83">
                  <c:v>15720.000000000011</c:v>
                </c:pt>
                <c:pt idx="84">
                  <c:v>15833.333333333345</c:v>
                </c:pt>
                <c:pt idx="85">
                  <c:v>15946.666666666679</c:v>
                </c:pt>
                <c:pt idx="86">
                  <c:v>16060.000000000013</c:v>
                </c:pt>
                <c:pt idx="87">
                  <c:v>16173.333333333347</c:v>
                </c:pt>
                <c:pt idx="88">
                  <c:v>16286.666666666681</c:v>
                </c:pt>
                <c:pt idx="89" formatCode="General">
                  <c:v>16400</c:v>
                </c:pt>
                <c:pt idx="90">
                  <c:v>16475</c:v>
                </c:pt>
                <c:pt idx="91">
                  <c:v>16550</c:v>
                </c:pt>
                <c:pt idx="92">
                  <c:v>16625</c:v>
                </c:pt>
                <c:pt idx="93">
                  <c:v>16700</c:v>
                </c:pt>
                <c:pt idx="94">
                  <c:v>16775</c:v>
                </c:pt>
                <c:pt idx="95">
                  <c:v>16850</c:v>
                </c:pt>
                <c:pt idx="96">
                  <c:v>16925</c:v>
                </c:pt>
                <c:pt idx="97">
                  <c:v>17000</c:v>
                </c:pt>
                <c:pt idx="98">
                  <c:v>17075</c:v>
                </c:pt>
                <c:pt idx="99">
                  <c:v>17150</c:v>
                </c:pt>
                <c:pt idx="100">
                  <c:v>17225</c:v>
                </c:pt>
                <c:pt idx="101">
                  <c:v>17300</c:v>
                </c:pt>
                <c:pt idx="102">
                  <c:v>17375</c:v>
                </c:pt>
                <c:pt idx="103">
                  <c:v>17450</c:v>
                </c:pt>
                <c:pt idx="104">
                  <c:v>17525</c:v>
                </c:pt>
                <c:pt idx="105">
                  <c:v>17600</c:v>
                </c:pt>
                <c:pt idx="106">
                  <c:v>17675</c:v>
                </c:pt>
                <c:pt idx="107">
                  <c:v>17750</c:v>
                </c:pt>
                <c:pt idx="108">
                  <c:v>17825</c:v>
                </c:pt>
                <c:pt idx="109">
                  <c:v>17900</c:v>
                </c:pt>
                <c:pt idx="110">
                  <c:v>17975</c:v>
                </c:pt>
                <c:pt idx="111">
                  <c:v>18050</c:v>
                </c:pt>
                <c:pt idx="112">
                  <c:v>18125</c:v>
                </c:pt>
                <c:pt idx="113">
                  <c:v>18200</c:v>
                </c:pt>
                <c:pt idx="114">
                  <c:v>18275</c:v>
                </c:pt>
                <c:pt idx="115">
                  <c:v>18350</c:v>
                </c:pt>
                <c:pt idx="116">
                  <c:v>18425</c:v>
                </c:pt>
                <c:pt idx="117">
                  <c:v>18500</c:v>
                </c:pt>
                <c:pt idx="118">
                  <c:v>18575</c:v>
                </c:pt>
                <c:pt idx="119">
                  <c:v>18650</c:v>
                </c:pt>
                <c:pt idx="120">
                  <c:v>18725</c:v>
                </c:pt>
                <c:pt idx="121">
                  <c:v>18800</c:v>
                </c:pt>
                <c:pt idx="122">
                  <c:v>18875</c:v>
                </c:pt>
                <c:pt idx="123">
                  <c:v>18950</c:v>
                </c:pt>
                <c:pt idx="124">
                  <c:v>19025</c:v>
                </c:pt>
                <c:pt idx="125">
                  <c:v>19100</c:v>
                </c:pt>
                <c:pt idx="126">
                  <c:v>19175</c:v>
                </c:pt>
                <c:pt idx="127">
                  <c:v>19250</c:v>
                </c:pt>
                <c:pt idx="128">
                  <c:v>19325</c:v>
                </c:pt>
                <c:pt idx="129">
                  <c:v>19400</c:v>
                </c:pt>
                <c:pt idx="130">
                  <c:v>19475</c:v>
                </c:pt>
                <c:pt idx="131">
                  <c:v>19550</c:v>
                </c:pt>
                <c:pt idx="132">
                  <c:v>19625</c:v>
                </c:pt>
                <c:pt idx="133">
                  <c:v>19700</c:v>
                </c:pt>
                <c:pt idx="134">
                  <c:v>19775</c:v>
                </c:pt>
                <c:pt idx="135">
                  <c:v>19850</c:v>
                </c:pt>
                <c:pt idx="136">
                  <c:v>19925</c:v>
                </c:pt>
                <c:pt idx="137">
                  <c:v>20000</c:v>
                </c:pt>
                <c:pt idx="138">
                  <c:v>20075</c:v>
                </c:pt>
                <c:pt idx="139">
                  <c:v>20150</c:v>
                </c:pt>
                <c:pt idx="140">
                  <c:v>20225</c:v>
                </c:pt>
                <c:pt idx="141">
                  <c:v>20300</c:v>
                </c:pt>
                <c:pt idx="142">
                  <c:v>20375</c:v>
                </c:pt>
                <c:pt idx="143">
                  <c:v>20450</c:v>
                </c:pt>
                <c:pt idx="144">
                  <c:v>20525</c:v>
                </c:pt>
                <c:pt idx="145">
                  <c:v>20600</c:v>
                </c:pt>
                <c:pt idx="146">
                  <c:v>20675</c:v>
                </c:pt>
                <c:pt idx="147">
                  <c:v>20750</c:v>
                </c:pt>
                <c:pt idx="148">
                  <c:v>20825</c:v>
                </c:pt>
                <c:pt idx="149" formatCode="General">
                  <c:v>20900</c:v>
                </c:pt>
                <c:pt idx="150">
                  <c:v>20937.5</c:v>
                </c:pt>
                <c:pt idx="151">
                  <c:v>20975</c:v>
                </c:pt>
                <c:pt idx="152">
                  <c:v>21012.5</c:v>
                </c:pt>
                <c:pt idx="153">
                  <c:v>21050</c:v>
                </c:pt>
                <c:pt idx="154">
                  <c:v>21087.5</c:v>
                </c:pt>
                <c:pt idx="155">
                  <c:v>21125</c:v>
                </c:pt>
                <c:pt idx="156">
                  <c:v>21162.5</c:v>
                </c:pt>
                <c:pt idx="157">
                  <c:v>21200</c:v>
                </c:pt>
                <c:pt idx="158">
                  <c:v>21237.5</c:v>
                </c:pt>
                <c:pt idx="159">
                  <c:v>21275</c:v>
                </c:pt>
                <c:pt idx="160">
                  <c:v>21312.5</c:v>
                </c:pt>
                <c:pt idx="161">
                  <c:v>21350</c:v>
                </c:pt>
                <c:pt idx="162">
                  <c:v>21387.5</c:v>
                </c:pt>
                <c:pt idx="163">
                  <c:v>21425</c:v>
                </c:pt>
                <c:pt idx="164">
                  <c:v>21462.5</c:v>
                </c:pt>
                <c:pt idx="165">
                  <c:v>21500</c:v>
                </c:pt>
                <c:pt idx="166">
                  <c:v>21537.5</c:v>
                </c:pt>
                <c:pt idx="167">
                  <c:v>21575</c:v>
                </c:pt>
                <c:pt idx="168">
                  <c:v>21612.5</c:v>
                </c:pt>
                <c:pt idx="169">
                  <c:v>21650</c:v>
                </c:pt>
                <c:pt idx="170">
                  <c:v>21687.5</c:v>
                </c:pt>
                <c:pt idx="171">
                  <c:v>21725</c:v>
                </c:pt>
                <c:pt idx="172">
                  <c:v>21762.5</c:v>
                </c:pt>
                <c:pt idx="173">
                  <c:v>21800</c:v>
                </c:pt>
                <c:pt idx="174">
                  <c:v>21837.5</c:v>
                </c:pt>
                <c:pt idx="175">
                  <c:v>21875</c:v>
                </c:pt>
                <c:pt idx="176">
                  <c:v>21912.5</c:v>
                </c:pt>
                <c:pt idx="177">
                  <c:v>21950</c:v>
                </c:pt>
                <c:pt idx="178">
                  <c:v>21987.5</c:v>
                </c:pt>
                <c:pt idx="179">
                  <c:v>22025</c:v>
                </c:pt>
                <c:pt idx="180">
                  <c:v>22062.5</c:v>
                </c:pt>
                <c:pt idx="181">
                  <c:v>22100</c:v>
                </c:pt>
                <c:pt idx="182">
                  <c:v>22137.5</c:v>
                </c:pt>
                <c:pt idx="183">
                  <c:v>22175</c:v>
                </c:pt>
                <c:pt idx="184">
                  <c:v>22212.5</c:v>
                </c:pt>
                <c:pt idx="185">
                  <c:v>22250</c:v>
                </c:pt>
                <c:pt idx="186">
                  <c:v>22287.5</c:v>
                </c:pt>
                <c:pt idx="187">
                  <c:v>22325</c:v>
                </c:pt>
                <c:pt idx="188">
                  <c:v>22362.5</c:v>
                </c:pt>
                <c:pt idx="189">
                  <c:v>22400</c:v>
                </c:pt>
                <c:pt idx="190">
                  <c:v>22437.5</c:v>
                </c:pt>
                <c:pt idx="191">
                  <c:v>22475</c:v>
                </c:pt>
                <c:pt idx="192">
                  <c:v>22512.5</c:v>
                </c:pt>
                <c:pt idx="193">
                  <c:v>22550</c:v>
                </c:pt>
                <c:pt idx="194">
                  <c:v>22587.5</c:v>
                </c:pt>
                <c:pt idx="195">
                  <c:v>22625</c:v>
                </c:pt>
                <c:pt idx="196">
                  <c:v>22662.5</c:v>
                </c:pt>
                <c:pt idx="197">
                  <c:v>22700</c:v>
                </c:pt>
              </c:numCache>
            </c:numRef>
          </c:yVal>
          <c:smooth val="1"/>
        </c:ser>
        <c:ser>
          <c:idx val="15"/>
          <c:order val="15"/>
          <c:tx>
            <c:strRef>
              <c:f>'Temp Corr'!$Q$84</c:f>
              <c:strCache>
                <c:ptCount val="1"/>
                <c:pt idx="0">
                  <c:v>MSZ-GL18NA-U1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Corr'!$Q$85:$Q$282</c:f>
              <c:numCache>
                <c:formatCode>0</c:formatCode>
                <c:ptCount val="198"/>
                <c:pt idx="37">
                  <c:v>7747.9999999999982</c:v>
                </c:pt>
                <c:pt idx="38">
                  <c:v>8009.9999999999991</c:v>
                </c:pt>
                <c:pt idx="39">
                  <c:v>8272</c:v>
                </c:pt>
                <c:pt idx="40">
                  <c:v>8534</c:v>
                </c:pt>
                <c:pt idx="41">
                  <c:v>8796</c:v>
                </c:pt>
                <c:pt idx="42">
                  <c:v>9058</c:v>
                </c:pt>
                <c:pt idx="43">
                  <c:v>9320</c:v>
                </c:pt>
                <c:pt idx="44">
                  <c:v>9582</c:v>
                </c:pt>
                <c:pt idx="45">
                  <c:v>9844</c:v>
                </c:pt>
                <c:pt idx="46">
                  <c:v>10106</c:v>
                </c:pt>
                <c:pt idx="47">
                  <c:v>10368</c:v>
                </c:pt>
                <c:pt idx="48">
                  <c:v>11518.777777777785</c:v>
                </c:pt>
                <c:pt idx="49">
                  <c:v>11603.555555555562</c:v>
                </c:pt>
                <c:pt idx="50">
                  <c:v>11688.333333333339</c:v>
                </c:pt>
                <c:pt idx="51">
                  <c:v>11773.111111111117</c:v>
                </c:pt>
                <c:pt idx="52">
                  <c:v>11857.888888888894</c:v>
                </c:pt>
                <c:pt idx="53">
                  <c:v>11942.666666666672</c:v>
                </c:pt>
                <c:pt idx="54">
                  <c:v>12027.444444444449</c:v>
                </c:pt>
                <c:pt idx="55">
                  <c:v>12112.222222222226</c:v>
                </c:pt>
                <c:pt idx="56">
                  <c:v>12197.000000000004</c:v>
                </c:pt>
                <c:pt idx="57">
                  <c:v>12281.777777777781</c:v>
                </c:pt>
                <c:pt idx="58">
                  <c:v>12366.555555555558</c:v>
                </c:pt>
                <c:pt idx="59">
                  <c:v>12451.333333333336</c:v>
                </c:pt>
                <c:pt idx="60">
                  <c:v>12536.111111111113</c:v>
                </c:pt>
                <c:pt idx="61">
                  <c:v>12620.888888888891</c:v>
                </c:pt>
                <c:pt idx="62">
                  <c:v>12705.666666666668</c:v>
                </c:pt>
                <c:pt idx="63">
                  <c:v>12790.444444444445</c:v>
                </c:pt>
                <c:pt idx="64">
                  <c:v>12875.222222222223</c:v>
                </c:pt>
                <c:pt idx="65" formatCode="General">
                  <c:v>12960</c:v>
                </c:pt>
                <c:pt idx="66">
                  <c:v>13178.333333333334</c:v>
                </c:pt>
                <c:pt idx="67">
                  <c:v>13396.666666666668</c:v>
                </c:pt>
                <c:pt idx="68">
                  <c:v>13615.000000000002</c:v>
                </c:pt>
                <c:pt idx="69">
                  <c:v>13833.333333333336</c:v>
                </c:pt>
                <c:pt idx="70">
                  <c:v>14051.66666666667</c:v>
                </c:pt>
                <c:pt idx="71">
                  <c:v>14270.000000000004</c:v>
                </c:pt>
                <c:pt idx="72">
                  <c:v>14488.333333333338</c:v>
                </c:pt>
                <c:pt idx="73">
                  <c:v>14706.666666666672</c:v>
                </c:pt>
                <c:pt idx="74">
                  <c:v>14925.000000000005</c:v>
                </c:pt>
                <c:pt idx="75">
                  <c:v>15143.333333333339</c:v>
                </c:pt>
                <c:pt idx="76">
                  <c:v>15361.666666666673</c:v>
                </c:pt>
                <c:pt idx="77">
                  <c:v>15580.000000000007</c:v>
                </c:pt>
                <c:pt idx="78">
                  <c:v>15798.333333333341</c:v>
                </c:pt>
                <c:pt idx="79">
                  <c:v>16016.666666666675</c:v>
                </c:pt>
                <c:pt idx="80">
                  <c:v>16235.000000000009</c:v>
                </c:pt>
                <c:pt idx="81">
                  <c:v>16453.333333333343</c:v>
                </c:pt>
                <c:pt idx="82">
                  <c:v>16671.666666666675</c:v>
                </c:pt>
                <c:pt idx="83">
                  <c:v>16890.000000000007</c:v>
                </c:pt>
                <c:pt idx="84">
                  <c:v>17108.333333333339</c:v>
                </c:pt>
                <c:pt idx="85">
                  <c:v>17326.666666666672</c:v>
                </c:pt>
                <c:pt idx="86">
                  <c:v>17545.000000000004</c:v>
                </c:pt>
                <c:pt idx="87">
                  <c:v>17763.333333333336</c:v>
                </c:pt>
                <c:pt idx="88">
                  <c:v>17981.666666666668</c:v>
                </c:pt>
                <c:pt idx="89" formatCode="General">
                  <c:v>18200</c:v>
                </c:pt>
                <c:pt idx="90">
                  <c:v>18313.333333333332</c:v>
                </c:pt>
                <c:pt idx="91">
                  <c:v>18426.666666666664</c:v>
                </c:pt>
                <c:pt idx="92">
                  <c:v>18539.999999999996</c:v>
                </c:pt>
                <c:pt idx="93">
                  <c:v>18653.333333333328</c:v>
                </c:pt>
                <c:pt idx="94">
                  <c:v>18766.666666666661</c:v>
                </c:pt>
                <c:pt idx="95">
                  <c:v>18879.999999999993</c:v>
                </c:pt>
                <c:pt idx="96">
                  <c:v>18993.333333333325</c:v>
                </c:pt>
                <c:pt idx="97">
                  <c:v>19106.666666666657</c:v>
                </c:pt>
                <c:pt idx="98">
                  <c:v>19219.999999999989</c:v>
                </c:pt>
                <c:pt idx="99">
                  <c:v>19333.333333333321</c:v>
                </c:pt>
                <c:pt idx="100">
                  <c:v>19446.666666666653</c:v>
                </c:pt>
                <c:pt idx="101">
                  <c:v>19559.999999999985</c:v>
                </c:pt>
                <c:pt idx="102">
                  <c:v>19673.333333333318</c:v>
                </c:pt>
                <c:pt idx="103">
                  <c:v>19786.66666666665</c:v>
                </c:pt>
                <c:pt idx="104">
                  <c:v>19899.999999999982</c:v>
                </c:pt>
                <c:pt idx="105">
                  <c:v>20013.333333333314</c:v>
                </c:pt>
                <c:pt idx="106">
                  <c:v>20126.666666666646</c:v>
                </c:pt>
                <c:pt idx="107">
                  <c:v>20239.999999999978</c:v>
                </c:pt>
                <c:pt idx="108">
                  <c:v>20353.33333333331</c:v>
                </c:pt>
                <c:pt idx="109">
                  <c:v>20466.666666666642</c:v>
                </c:pt>
                <c:pt idx="110">
                  <c:v>20579.999999999975</c:v>
                </c:pt>
                <c:pt idx="111">
                  <c:v>20693.333333333307</c:v>
                </c:pt>
                <c:pt idx="112">
                  <c:v>20806.666666666639</c:v>
                </c:pt>
                <c:pt idx="113">
                  <c:v>20919.999999999971</c:v>
                </c:pt>
                <c:pt idx="114">
                  <c:v>21033.333333333303</c:v>
                </c:pt>
                <c:pt idx="115">
                  <c:v>21146.666666666635</c:v>
                </c:pt>
                <c:pt idx="116">
                  <c:v>21259.999999999967</c:v>
                </c:pt>
                <c:pt idx="117">
                  <c:v>21373.333333333299</c:v>
                </c:pt>
                <c:pt idx="118">
                  <c:v>21486.666666666631</c:v>
                </c:pt>
                <c:pt idx="119">
                  <c:v>21599.999999999964</c:v>
                </c:pt>
                <c:pt idx="120">
                  <c:v>21713.333333333296</c:v>
                </c:pt>
                <c:pt idx="121">
                  <c:v>21826.666666666628</c:v>
                </c:pt>
                <c:pt idx="122">
                  <c:v>21939.99999999996</c:v>
                </c:pt>
                <c:pt idx="123">
                  <c:v>22053.333333333292</c:v>
                </c:pt>
                <c:pt idx="124">
                  <c:v>22166.666666666624</c:v>
                </c:pt>
                <c:pt idx="125">
                  <c:v>22279.999999999956</c:v>
                </c:pt>
                <c:pt idx="126">
                  <c:v>22393.333333333288</c:v>
                </c:pt>
                <c:pt idx="127">
                  <c:v>22506.666666666621</c:v>
                </c:pt>
                <c:pt idx="128">
                  <c:v>22619.999999999953</c:v>
                </c:pt>
                <c:pt idx="129">
                  <c:v>22733.333333333285</c:v>
                </c:pt>
                <c:pt idx="130">
                  <c:v>22846.666666666617</c:v>
                </c:pt>
                <c:pt idx="131">
                  <c:v>22959.999999999949</c:v>
                </c:pt>
                <c:pt idx="132">
                  <c:v>23073.333333333281</c:v>
                </c:pt>
                <c:pt idx="133">
                  <c:v>23186.666666666613</c:v>
                </c:pt>
                <c:pt idx="134">
                  <c:v>23299.999999999945</c:v>
                </c:pt>
                <c:pt idx="135">
                  <c:v>23413.333333333278</c:v>
                </c:pt>
                <c:pt idx="136">
                  <c:v>23526.66666666661</c:v>
                </c:pt>
                <c:pt idx="137">
                  <c:v>23639.999999999942</c:v>
                </c:pt>
                <c:pt idx="138">
                  <c:v>23753.333333333274</c:v>
                </c:pt>
                <c:pt idx="139">
                  <c:v>23866.666666666606</c:v>
                </c:pt>
                <c:pt idx="140">
                  <c:v>23979.999999999938</c:v>
                </c:pt>
                <c:pt idx="141">
                  <c:v>24093.33333333327</c:v>
                </c:pt>
                <c:pt idx="142">
                  <c:v>24206.666666666602</c:v>
                </c:pt>
                <c:pt idx="143">
                  <c:v>24319.999999999935</c:v>
                </c:pt>
                <c:pt idx="144">
                  <c:v>24433.333333333267</c:v>
                </c:pt>
                <c:pt idx="145">
                  <c:v>24546.666666666599</c:v>
                </c:pt>
                <c:pt idx="146">
                  <c:v>24659.999999999931</c:v>
                </c:pt>
                <c:pt idx="147">
                  <c:v>24773.333333333263</c:v>
                </c:pt>
                <c:pt idx="148">
                  <c:v>24886.666666666595</c:v>
                </c:pt>
                <c:pt idx="149" formatCode="General">
                  <c:v>25000</c:v>
                </c:pt>
                <c:pt idx="150">
                  <c:v>25056.666666666701</c:v>
                </c:pt>
                <c:pt idx="151">
                  <c:v>25113.333333333401</c:v>
                </c:pt>
                <c:pt idx="152">
                  <c:v>25170.000000000102</c:v>
                </c:pt>
                <c:pt idx="153">
                  <c:v>25226.666666666802</c:v>
                </c:pt>
                <c:pt idx="154">
                  <c:v>25283.333333333503</c:v>
                </c:pt>
                <c:pt idx="155">
                  <c:v>25340.000000000204</c:v>
                </c:pt>
                <c:pt idx="156">
                  <c:v>25396.666666666904</c:v>
                </c:pt>
                <c:pt idx="157">
                  <c:v>25453.333333333605</c:v>
                </c:pt>
                <c:pt idx="158">
                  <c:v>25510.000000000306</c:v>
                </c:pt>
                <c:pt idx="159">
                  <c:v>25566.666666667006</c:v>
                </c:pt>
                <c:pt idx="160">
                  <c:v>25623.333333333707</c:v>
                </c:pt>
                <c:pt idx="161">
                  <c:v>25680.000000000407</c:v>
                </c:pt>
                <c:pt idx="162">
                  <c:v>25736.666666667108</c:v>
                </c:pt>
                <c:pt idx="163">
                  <c:v>25793.333333333809</c:v>
                </c:pt>
                <c:pt idx="164">
                  <c:v>25850.000000000509</c:v>
                </c:pt>
                <c:pt idx="165">
                  <c:v>25906.66666666721</c:v>
                </c:pt>
                <c:pt idx="166">
                  <c:v>25963.333333333911</c:v>
                </c:pt>
                <c:pt idx="167">
                  <c:v>26020.000000000611</c:v>
                </c:pt>
                <c:pt idx="168">
                  <c:v>26076.666666667312</c:v>
                </c:pt>
                <c:pt idx="169">
                  <c:v>26133.333333334012</c:v>
                </c:pt>
                <c:pt idx="170">
                  <c:v>26190.000000000713</c:v>
                </c:pt>
                <c:pt idx="171">
                  <c:v>26246.666666667414</c:v>
                </c:pt>
                <c:pt idx="172">
                  <c:v>26303.333333334114</c:v>
                </c:pt>
                <c:pt idx="173">
                  <c:v>26360.000000000815</c:v>
                </c:pt>
                <c:pt idx="174">
                  <c:v>26416.666666667516</c:v>
                </c:pt>
                <c:pt idx="175">
                  <c:v>26473.333333334216</c:v>
                </c:pt>
                <c:pt idx="176">
                  <c:v>26530.000000000917</c:v>
                </c:pt>
                <c:pt idx="177">
                  <c:v>26586.666666667617</c:v>
                </c:pt>
                <c:pt idx="178">
                  <c:v>26643.333333334318</c:v>
                </c:pt>
                <c:pt idx="179">
                  <c:v>26700.000000001019</c:v>
                </c:pt>
                <c:pt idx="180">
                  <c:v>26756.666666667719</c:v>
                </c:pt>
                <c:pt idx="181">
                  <c:v>26813.33333333442</c:v>
                </c:pt>
                <c:pt idx="182">
                  <c:v>26870.00000000112</c:v>
                </c:pt>
                <c:pt idx="183">
                  <c:v>26926.666666667821</c:v>
                </c:pt>
                <c:pt idx="184">
                  <c:v>26983.333333334522</c:v>
                </c:pt>
                <c:pt idx="185">
                  <c:v>27040.000000001222</c:v>
                </c:pt>
                <c:pt idx="186">
                  <c:v>27096.666666667923</c:v>
                </c:pt>
                <c:pt idx="187">
                  <c:v>27153.333333334624</c:v>
                </c:pt>
                <c:pt idx="188">
                  <c:v>27210.000000001324</c:v>
                </c:pt>
                <c:pt idx="189">
                  <c:v>27266.666666668025</c:v>
                </c:pt>
                <c:pt idx="190">
                  <c:v>27323.333333334725</c:v>
                </c:pt>
                <c:pt idx="191">
                  <c:v>27380.000000001426</c:v>
                </c:pt>
                <c:pt idx="192">
                  <c:v>27436.666666668127</c:v>
                </c:pt>
                <c:pt idx="193">
                  <c:v>27493.333333334827</c:v>
                </c:pt>
                <c:pt idx="194">
                  <c:v>27550.000000001528</c:v>
                </c:pt>
                <c:pt idx="195">
                  <c:v>27606.666666668229</c:v>
                </c:pt>
                <c:pt idx="196">
                  <c:v>27663.333333334929</c:v>
                </c:pt>
                <c:pt idx="197">
                  <c:v>27720.00000000163</c:v>
                </c:pt>
              </c:numCache>
            </c:numRef>
          </c:yVal>
          <c:smooth val="1"/>
        </c:ser>
        <c:ser>
          <c:idx val="16"/>
          <c:order val="16"/>
          <c:tx>
            <c:strRef>
              <c:f>'Temp Corr'!$R$84</c:f>
              <c:strCache>
                <c:ptCount val="1"/>
                <c:pt idx="0">
                  <c:v>MSZ-GL24NA-U1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Corr'!$R$85:$R$282</c:f>
              <c:numCache>
                <c:formatCode>0</c:formatCode>
                <c:ptCount val="198"/>
                <c:pt idx="37">
                  <c:v>12816.000000000002</c:v>
                </c:pt>
                <c:pt idx="38">
                  <c:v>13080.000000000002</c:v>
                </c:pt>
                <c:pt idx="39">
                  <c:v>13344.000000000002</c:v>
                </c:pt>
                <c:pt idx="40">
                  <c:v>13608.000000000002</c:v>
                </c:pt>
                <c:pt idx="41">
                  <c:v>13872.000000000002</c:v>
                </c:pt>
                <c:pt idx="42">
                  <c:v>14136.000000000002</c:v>
                </c:pt>
                <c:pt idx="43">
                  <c:v>14400.000000000002</c:v>
                </c:pt>
                <c:pt idx="44">
                  <c:v>14664.000000000002</c:v>
                </c:pt>
                <c:pt idx="45">
                  <c:v>14928.000000000002</c:v>
                </c:pt>
                <c:pt idx="46">
                  <c:v>15192.000000000002</c:v>
                </c:pt>
                <c:pt idx="47">
                  <c:v>15456.000000000002</c:v>
                </c:pt>
                <c:pt idx="48">
                  <c:v>17878.777777777785</c:v>
                </c:pt>
                <c:pt idx="49">
                  <c:v>17963.555555555562</c:v>
                </c:pt>
                <c:pt idx="50">
                  <c:v>18048.333333333339</c:v>
                </c:pt>
                <c:pt idx="51">
                  <c:v>18133.111111111117</c:v>
                </c:pt>
                <c:pt idx="52">
                  <c:v>18217.888888888894</c:v>
                </c:pt>
                <c:pt idx="53">
                  <c:v>18302.666666666672</c:v>
                </c:pt>
                <c:pt idx="54">
                  <c:v>18387.444444444449</c:v>
                </c:pt>
                <c:pt idx="55">
                  <c:v>18472.222222222226</c:v>
                </c:pt>
                <c:pt idx="56">
                  <c:v>18557.000000000004</c:v>
                </c:pt>
                <c:pt idx="57">
                  <c:v>18641.777777777781</c:v>
                </c:pt>
                <c:pt idx="58">
                  <c:v>18726.555555555558</c:v>
                </c:pt>
                <c:pt idx="59">
                  <c:v>18811.333333333336</c:v>
                </c:pt>
                <c:pt idx="60">
                  <c:v>18896.111111111113</c:v>
                </c:pt>
                <c:pt idx="61">
                  <c:v>18980.888888888891</c:v>
                </c:pt>
                <c:pt idx="62">
                  <c:v>19065.666666666668</c:v>
                </c:pt>
                <c:pt idx="63">
                  <c:v>19150.444444444445</c:v>
                </c:pt>
                <c:pt idx="64">
                  <c:v>19235.222222222223</c:v>
                </c:pt>
                <c:pt idx="65" formatCode="General">
                  <c:v>19320</c:v>
                </c:pt>
                <c:pt idx="66">
                  <c:v>19540</c:v>
                </c:pt>
                <c:pt idx="67">
                  <c:v>19760</c:v>
                </c:pt>
                <c:pt idx="68">
                  <c:v>19980</c:v>
                </c:pt>
                <c:pt idx="69">
                  <c:v>20200</c:v>
                </c:pt>
                <c:pt idx="70">
                  <c:v>20420</c:v>
                </c:pt>
                <c:pt idx="71">
                  <c:v>20640</c:v>
                </c:pt>
                <c:pt idx="72">
                  <c:v>20860</c:v>
                </c:pt>
                <c:pt idx="73">
                  <c:v>21080</c:v>
                </c:pt>
                <c:pt idx="74">
                  <c:v>21300</c:v>
                </c:pt>
                <c:pt idx="75">
                  <c:v>21520</c:v>
                </c:pt>
                <c:pt idx="76">
                  <c:v>21740</c:v>
                </c:pt>
                <c:pt idx="77">
                  <c:v>21960</c:v>
                </c:pt>
                <c:pt idx="78">
                  <c:v>22180</c:v>
                </c:pt>
                <c:pt idx="79">
                  <c:v>22400</c:v>
                </c:pt>
                <c:pt idx="80">
                  <c:v>22620</c:v>
                </c:pt>
                <c:pt idx="81">
                  <c:v>22840</c:v>
                </c:pt>
                <c:pt idx="82">
                  <c:v>23060</c:v>
                </c:pt>
                <c:pt idx="83">
                  <c:v>23280</c:v>
                </c:pt>
                <c:pt idx="84">
                  <c:v>23500</c:v>
                </c:pt>
                <c:pt idx="85">
                  <c:v>23720</c:v>
                </c:pt>
                <c:pt idx="86">
                  <c:v>23940</c:v>
                </c:pt>
                <c:pt idx="87">
                  <c:v>24160</c:v>
                </c:pt>
                <c:pt idx="88">
                  <c:v>24380</c:v>
                </c:pt>
                <c:pt idx="89" formatCode="General">
                  <c:v>24600</c:v>
                </c:pt>
                <c:pt idx="90">
                  <c:v>24805</c:v>
                </c:pt>
                <c:pt idx="91">
                  <c:v>25010</c:v>
                </c:pt>
                <c:pt idx="92">
                  <c:v>25215</c:v>
                </c:pt>
                <c:pt idx="93">
                  <c:v>25420</c:v>
                </c:pt>
                <c:pt idx="94">
                  <c:v>25625</c:v>
                </c:pt>
                <c:pt idx="95">
                  <c:v>25830</c:v>
                </c:pt>
                <c:pt idx="96">
                  <c:v>26035</c:v>
                </c:pt>
                <c:pt idx="97">
                  <c:v>26240</c:v>
                </c:pt>
                <c:pt idx="98">
                  <c:v>26445</c:v>
                </c:pt>
                <c:pt idx="99">
                  <c:v>26650</c:v>
                </c:pt>
                <c:pt idx="100">
                  <c:v>26855</c:v>
                </c:pt>
                <c:pt idx="101">
                  <c:v>27060</c:v>
                </c:pt>
                <c:pt idx="102">
                  <c:v>27265</c:v>
                </c:pt>
                <c:pt idx="103">
                  <c:v>27470</c:v>
                </c:pt>
                <c:pt idx="104">
                  <c:v>27675</c:v>
                </c:pt>
                <c:pt idx="105">
                  <c:v>27880</c:v>
                </c:pt>
                <c:pt idx="106">
                  <c:v>28085</c:v>
                </c:pt>
                <c:pt idx="107">
                  <c:v>28290</c:v>
                </c:pt>
                <c:pt idx="108">
                  <c:v>28495</c:v>
                </c:pt>
                <c:pt idx="109">
                  <c:v>28700</c:v>
                </c:pt>
                <c:pt idx="110">
                  <c:v>28905</c:v>
                </c:pt>
                <c:pt idx="111">
                  <c:v>29110</c:v>
                </c:pt>
                <c:pt idx="112">
                  <c:v>29315</c:v>
                </c:pt>
                <c:pt idx="113">
                  <c:v>29520</c:v>
                </c:pt>
                <c:pt idx="114">
                  <c:v>29725</c:v>
                </c:pt>
                <c:pt idx="115">
                  <c:v>29930</c:v>
                </c:pt>
                <c:pt idx="116">
                  <c:v>30135</c:v>
                </c:pt>
                <c:pt idx="117">
                  <c:v>30340</c:v>
                </c:pt>
                <c:pt idx="118">
                  <c:v>30545</c:v>
                </c:pt>
                <c:pt idx="119">
                  <c:v>30750</c:v>
                </c:pt>
                <c:pt idx="120">
                  <c:v>30955</c:v>
                </c:pt>
                <c:pt idx="121">
                  <c:v>31160</c:v>
                </c:pt>
                <c:pt idx="122">
                  <c:v>31365</c:v>
                </c:pt>
                <c:pt idx="123">
                  <c:v>31570</c:v>
                </c:pt>
                <c:pt idx="124">
                  <c:v>31775</c:v>
                </c:pt>
                <c:pt idx="125">
                  <c:v>31980</c:v>
                </c:pt>
                <c:pt idx="126">
                  <c:v>32185</c:v>
                </c:pt>
                <c:pt idx="127">
                  <c:v>32390</c:v>
                </c:pt>
                <c:pt idx="128">
                  <c:v>32595</c:v>
                </c:pt>
                <c:pt idx="129">
                  <c:v>32800</c:v>
                </c:pt>
                <c:pt idx="130">
                  <c:v>33005</c:v>
                </c:pt>
                <c:pt idx="131">
                  <c:v>33210</c:v>
                </c:pt>
                <c:pt idx="132">
                  <c:v>33415</c:v>
                </c:pt>
                <c:pt idx="133">
                  <c:v>33620</c:v>
                </c:pt>
                <c:pt idx="134">
                  <c:v>33825</c:v>
                </c:pt>
                <c:pt idx="135">
                  <c:v>34030</c:v>
                </c:pt>
                <c:pt idx="136">
                  <c:v>34235</c:v>
                </c:pt>
                <c:pt idx="137">
                  <c:v>34440</c:v>
                </c:pt>
                <c:pt idx="138">
                  <c:v>34645</c:v>
                </c:pt>
                <c:pt idx="139">
                  <c:v>34850</c:v>
                </c:pt>
                <c:pt idx="140">
                  <c:v>35055</c:v>
                </c:pt>
                <c:pt idx="141">
                  <c:v>35260</c:v>
                </c:pt>
                <c:pt idx="142">
                  <c:v>35465</c:v>
                </c:pt>
                <c:pt idx="143">
                  <c:v>35670</c:v>
                </c:pt>
                <c:pt idx="144">
                  <c:v>35875</c:v>
                </c:pt>
                <c:pt idx="145">
                  <c:v>36080</c:v>
                </c:pt>
                <c:pt idx="146">
                  <c:v>36285</c:v>
                </c:pt>
                <c:pt idx="147">
                  <c:v>36490</c:v>
                </c:pt>
                <c:pt idx="148">
                  <c:v>36695</c:v>
                </c:pt>
                <c:pt idx="149" formatCode="General">
                  <c:v>36900</c:v>
                </c:pt>
                <c:pt idx="150">
                  <c:v>37002.5</c:v>
                </c:pt>
                <c:pt idx="151">
                  <c:v>37105</c:v>
                </c:pt>
                <c:pt idx="152">
                  <c:v>37207.5</c:v>
                </c:pt>
                <c:pt idx="153">
                  <c:v>37310</c:v>
                </c:pt>
                <c:pt idx="154">
                  <c:v>37412.5</c:v>
                </c:pt>
                <c:pt idx="155">
                  <c:v>37515</c:v>
                </c:pt>
                <c:pt idx="156">
                  <c:v>37617.5</c:v>
                </c:pt>
                <c:pt idx="157">
                  <c:v>37720</c:v>
                </c:pt>
                <c:pt idx="158">
                  <c:v>37822.5</c:v>
                </c:pt>
                <c:pt idx="159">
                  <c:v>37925</c:v>
                </c:pt>
                <c:pt idx="160">
                  <c:v>38027.5</c:v>
                </c:pt>
                <c:pt idx="161">
                  <c:v>38130</c:v>
                </c:pt>
                <c:pt idx="162">
                  <c:v>38232.5</c:v>
                </c:pt>
                <c:pt idx="163">
                  <c:v>38335</c:v>
                </c:pt>
                <c:pt idx="164">
                  <c:v>38437.5</c:v>
                </c:pt>
                <c:pt idx="165">
                  <c:v>38540</c:v>
                </c:pt>
                <c:pt idx="166">
                  <c:v>38642.5</c:v>
                </c:pt>
                <c:pt idx="167">
                  <c:v>38745</c:v>
                </c:pt>
                <c:pt idx="168">
                  <c:v>38847.5</c:v>
                </c:pt>
                <c:pt idx="169">
                  <c:v>38950</c:v>
                </c:pt>
                <c:pt idx="170">
                  <c:v>39052.5</c:v>
                </c:pt>
                <c:pt idx="171">
                  <c:v>39155</c:v>
                </c:pt>
                <c:pt idx="172">
                  <c:v>39257.5</c:v>
                </c:pt>
                <c:pt idx="173">
                  <c:v>39360</c:v>
                </c:pt>
                <c:pt idx="174">
                  <c:v>39462.5</c:v>
                </c:pt>
                <c:pt idx="175">
                  <c:v>39565</c:v>
                </c:pt>
                <c:pt idx="176">
                  <c:v>39667.5</c:v>
                </c:pt>
                <c:pt idx="177">
                  <c:v>39770</c:v>
                </c:pt>
                <c:pt idx="178">
                  <c:v>39872.5</c:v>
                </c:pt>
                <c:pt idx="179">
                  <c:v>39975</c:v>
                </c:pt>
                <c:pt idx="180">
                  <c:v>40077.5</c:v>
                </c:pt>
                <c:pt idx="181">
                  <c:v>40180</c:v>
                </c:pt>
                <c:pt idx="182">
                  <c:v>40282.5</c:v>
                </c:pt>
                <c:pt idx="183">
                  <c:v>40385</c:v>
                </c:pt>
                <c:pt idx="184">
                  <c:v>40487.5</c:v>
                </c:pt>
                <c:pt idx="185">
                  <c:v>40590</c:v>
                </c:pt>
                <c:pt idx="186">
                  <c:v>40692.5</c:v>
                </c:pt>
                <c:pt idx="187">
                  <c:v>40795</c:v>
                </c:pt>
                <c:pt idx="188">
                  <c:v>40897.5</c:v>
                </c:pt>
                <c:pt idx="189">
                  <c:v>41000</c:v>
                </c:pt>
                <c:pt idx="190">
                  <c:v>41102.5</c:v>
                </c:pt>
                <c:pt idx="191">
                  <c:v>41205</c:v>
                </c:pt>
                <c:pt idx="192">
                  <c:v>41307.5</c:v>
                </c:pt>
                <c:pt idx="193">
                  <c:v>41410</c:v>
                </c:pt>
                <c:pt idx="194">
                  <c:v>41512.5</c:v>
                </c:pt>
                <c:pt idx="195">
                  <c:v>41615</c:v>
                </c:pt>
                <c:pt idx="196">
                  <c:v>41717.5</c:v>
                </c:pt>
                <c:pt idx="197">
                  <c:v>41820</c:v>
                </c:pt>
              </c:numCache>
            </c:numRef>
          </c:yVal>
          <c:smooth val="1"/>
        </c:ser>
        <c:ser>
          <c:idx val="17"/>
          <c:order val="17"/>
          <c:tx>
            <c:strRef>
              <c:f>'Temp Corr'!$S$84</c:f>
              <c:strCache>
                <c:ptCount val="1"/>
                <c:pt idx="0">
                  <c:v>MXZ-2C20NA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Corr'!$S$85:$S$282</c:f>
              <c:numCache>
                <c:formatCode>0</c:formatCode>
                <c:ptCount val="198"/>
                <c:pt idx="58">
                  <c:v>9425</c:v>
                </c:pt>
                <c:pt idx="59">
                  <c:v>9650</c:v>
                </c:pt>
                <c:pt idx="60">
                  <c:v>9875</c:v>
                </c:pt>
                <c:pt idx="61">
                  <c:v>10100</c:v>
                </c:pt>
                <c:pt idx="62">
                  <c:v>10325</c:v>
                </c:pt>
                <c:pt idx="63">
                  <c:v>10550</c:v>
                </c:pt>
                <c:pt idx="64">
                  <c:v>10775</c:v>
                </c:pt>
                <c:pt idx="65" formatCode="General">
                  <c:v>11000</c:v>
                </c:pt>
                <c:pt idx="66">
                  <c:v>11187.5</c:v>
                </c:pt>
                <c:pt idx="67">
                  <c:v>11375</c:v>
                </c:pt>
                <c:pt idx="68">
                  <c:v>11562.5</c:v>
                </c:pt>
                <c:pt idx="69">
                  <c:v>11750</c:v>
                </c:pt>
                <c:pt idx="70">
                  <c:v>11937.5</c:v>
                </c:pt>
                <c:pt idx="71">
                  <c:v>12125</c:v>
                </c:pt>
                <c:pt idx="72">
                  <c:v>12312.5</c:v>
                </c:pt>
                <c:pt idx="73">
                  <c:v>12500</c:v>
                </c:pt>
                <c:pt idx="74">
                  <c:v>12687.5</c:v>
                </c:pt>
                <c:pt idx="75">
                  <c:v>12875</c:v>
                </c:pt>
                <c:pt idx="76">
                  <c:v>13062.5</c:v>
                </c:pt>
                <c:pt idx="77">
                  <c:v>13250</c:v>
                </c:pt>
                <c:pt idx="78">
                  <c:v>13437.5</c:v>
                </c:pt>
                <c:pt idx="79">
                  <c:v>13625</c:v>
                </c:pt>
                <c:pt idx="80">
                  <c:v>13812.5</c:v>
                </c:pt>
                <c:pt idx="81">
                  <c:v>14000</c:v>
                </c:pt>
                <c:pt idx="82">
                  <c:v>14187.5</c:v>
                </c:pt>
                <c:pt idx="83">
                  <c:v>14375</c:v>
                </c:pt>
                <c:pt idx="84">
                  <c:v>14562.5</c:v>
                </c:pt>
                <c:pt idx="85">
                  <c:v>14750</c:v>
                </c:pt>
                <c:pt idx="86">
                  <c:v>14937.5</c:v>
                </c:pt>
                <c:pt idx="87">
                  <c:v>15125</c:v>
                </c:pt>
                <c:pt idx="88">
                  <c:v>15312.5</c:v>
                </c:pt>
                <c:pt idx="89" formatCode="General">
                  <c:v>15500</c:v>
                </c:pt>
                <c:pt idx="90">
                  <c:v>15608.333333333334</c:v>
                </c:pt>
                <c:pt idx="91">
                  <c:v>15716.666666666668</c:v>
                </c:pt>
                <c:pt idx="92">
                  <c:v>15825.000000000002</c:v>
                </c:pt>
                <c:pt idx="93">
                  <c:v>15933.333333333336</c:v>
                </c:pt>
                <c:pt idx="94">
                  <c:v>16041.66666666667</c:v>
                </c:pt>
                <c:pt idx="95">
                  <c:v>16150.000000000004</c:v>
                </c:pt>
                <c:pt idx="96">
                  <c:v>16258.333333333338</c:v>
                </c:pt>
                <c:pt idx="97">
                  <c:v>16366.666666666672</c:v>
                </c:pt>
                <c:pt idx="98">
                  <c:v>16475.000000000004</c:v>
                </c:pt>
                <c:pt idx="99">
                  <c:v>16583.333333333336</c:v>
                </c:pt>
                <c:pt idx="100">
                  <c:v>16691.666666666668</c:v>
                </c:pt>
                <c:pt idx="101">
                  <c:v>16800</c:v>
                </c:pt>
                <c:pt idx="102">
                  <c:v>16908.333333333332</c:v>
                </c:pt>
                <c:pt idx="103">
                  <c:v>17016.666666666664</c:v>
                </c:pt>
                <c:pt idx="104">
                  <c:v>17124.999999999996</c:v>
                </c:pt>
                <c:pt idx="105">
                  <c:v>17233.333333333328</c:v>
                </c:pt>
                <c:pt idx="106">
                  <c:v>17341.666666666661</c:v>
                </c:pt>
                <c:pt idx="107">
                  <c:v>17449.999999999993</c:v>
                </c:pt>
                <c:pt idx="108">
                  <c:v>17558.333333333325</c:v>
                </c:pt>
                <c:pt idx="109">
                  <c:v>17666.666666666657</c:v>
                </c:pt>
                <c:pt idx="110">
                  <c:v>17774.999999999989</c:v>
                </c:pt>
                <c:pt idx="111">
                  <c:v>17883.333333333321</c:v>
                </c:pt>
                <c:pt idx="112">
                  <c:v>17991.666666666653</c:v>
                </c:pt>
                <c:pt idx="113">
                  <c:v>18099.999999999985</c:v>
                </c:pt>
                <c:pt idx="114">
                  <c:v>18208.333333333318</c:v>
                </c:pt>
                <c:pt idx="115">
                  <c:v>18316.66666666665</c:v>
                </c:pt>
                <c:pt idx="116">
                  <c:v>18424.999999999982</c:v>
                </c:pt>
                <c:pt idx="117">
                  <c:v>18533.333333333314</c:v>
                </c:pt>
                <c:pt idx="118">
                  <c:v>18641.666666666646</c:v>
                </c:pt>
                <c:pt idx="119">
                  <c:v>18749.999999999978</c:v>
                </c:pt>
                <c:pt idx="120">
                  <c:v>18858.33333333331</c:v>
                </c:pt>
                <c:pt idx="121">
                  <c:v>18966.666666666642</c:v>
                </c:pt>
                <c:pt idx="122">
                  <c:v>19074.999999999975</c:v>
                </c:pt>
                <c:pt idx="123">
                  <c:v>19183.333333333307</c:v>
                </c:pt>
                <c:pt idx="124">
                  <c:v>19291.666666666639</c:v>
                </c:pt>
                <c:pt idx="125">
                  <c:v>19399.999999999971</c:v>
                </c:pt>
                <c:pt idx="126">
                  <c:v>19508.333333333303</c:v>
                </c:pt>
                <c:pt idx="127">
                  <c:v>19616.666666666635</c:v>
                </c:pt>
                <c:pt idx="128">
                  <c:v>19724.999999999967</c:v>
                </c:pt>
                <c:pt idx="129">
                  <c:v>19833.333333333299</c:v>
                </c:pt>
                <c:pt idx="130">
                  <c:v>19941.666666666631</c:v>
                </c:pt>
                <c:pt idx="131">
                  <c:v>20049.999999999964</c:v>
                </c:pt>
                <c:pt idx="132">
                  <c:v>20158.333333333296</c:v>
                </c:pt>
                <c:pt idx="133">
                  <c:v>20266.666666666628</c:v>
                </c:pt>
                <c:pt idx="134">
                  <c:v>20374.99999999996</c:v>
                </c:pt>
                <c:pt idx="135">
                  <c:v>20483.333333333292</c:v>
                </c:pt>
                <c:pt idx="136">
                  <c:v>20591.666666666624</c:v>
                </c:pt>
                <c:pt idx="137">
                  <c:v>20699.999999999956</c:v>
                </c:pt>
                <c:pt idx="138">
                  <c:v>20808.333333333288</c:v>
                </c:pt>
                <c:pt idx="139">
                  <c:v>20916.666666666621</c:v>
                </c:pt>
                <c:pt idx="140">
                  <c:v>21024.999999999953</c:v>
                </c:pt>
                <c:pt idx="141">
                  <c:v>21133.333333333285</c:v>
                </c:pt>
                <c:pt idx="142">
                  <c:v>21241.666666666617</c:v>
                </c:pt>
                <c:pt idx="143">
                  <c:v>21349.999999999949</c:v>
                </c:pt>
                <c:pt idx="144">
                  <c:v>21458.333333333281</c:v>
                </c:pt>
                <c:pt idx="145">
                  <c:v>21566.666666666613</c:v>
                </c:pt>
                <c:pt idx="146">
                  <c:v>21674.999999999945</c:v>
                </c:pt>
                <c:pt idx="147">
                  <c:v>21783.333333333278</c:v>
                </c:pt>
                <c:pt idx="148">
                  <c:v>21891.66666666661</c:v>
                </c:pt>
                <c:pt idx="149" formatCode="General">
                  <c:v>22000</c:v>
                </c:pt>
                <c:pt idx="150">
                  <c:v>22054.166666666693</c:v>
                </c:pt>
                <c:pt idx="151">
                  <c:v>22108.333333333387</c:v>
                </c:pt>
                <c:pt idx="152">
                  <c:v>22162.50000000008</c:v>
                </c:pt>
                <c:pt idx="153">
                  <c:v>22216.666666666773</c:v>
                </c:pt>
                <c:pt idx="154">
                  <c:v>22270.833333333467</c:v>
                </c:pt>
                <c:pt idx="155">
                  <c:v>22325.00000000016</c:v>
                </c:pt>
                <c:pt idx="156">
                  <c:v>22379.166666666853</c:v>
                </c:pt>
                <c:pt idx="157">
                  <c:v>22433.333333333547</c:v>
                </c:pt>
                <c:pt idx="158">
                  <c:v>22487.50000000024</c:v>
                </c:pt>
                <c:pt idx="159">
                  <c:v>22541.666666666933</c:v>
                </c:pt>
                <c:pt idx="160">
                  <c:v>22595.833333333627</c:v>
                </c:pt>
                <c:pt idx="161">
                  <c:v>22650.00000000032</c:v>
                </c:pt>
                <c:pt idx="162">
                  <c:v>22704.166666667013</c:v>
                </c:pt>
                <c:pt idx="163">
                  <c:v>22758.333333333707</c:v>
                </c:pt>
                <c:pt idx="164">
                  <c:v>22812.5000000004</c:v>
                </c:pt>
                <c:pt idx="165">
                  <c:v>22866.666666667094</c:v>
                </c:pt>
                <c:pt idx="166">
                  <c:v>22920.833333333787</c:v>
                </c:pt>
                <c:pt idx="167">
                  <c:v>22975.00000000048</c:v>
                </c:pt>
                <c:pt idx="168">
                  <c:v>23029.166666667174</c:v>
                </c:pt>
                <c:pt idx="169">
                  <c:v>23083.333333333867</c:v>
                </c:pt>
                <c:pt idx="170">
                  <c:v>23137.50000000056</c:v>
                </c:pt>
                <c:pt idx="171">
                  <c:v>23191.666666667254</c:v>
                </c:pt>
                <c:pt idx="172">
                  <c:v>23245.833333333947</c:v>
                </c:pt>
                <c:pt idx="173">
                  <c:v>23300.00000000064</c:v>
                </c:pt>
                <c:pt idx="174">
                  <c:v>23354.166666667334</c:v>
                </c:pt>
                <c:pt idx="175">
                  <c:v>23408.333333334027</c:v>
                </c:pt>
                <c:pt idx="176">
                  <c:v>23462.50000000072</c:v>
                </c:pt>
                <c:pt idx="177">
                  <c:v>23516.666666667414</c:v>
                </c:pt>
                <c:pt idx="178">
                  <c:v>23570.833333334107</c:v>
                </c:pt>
                <c:pt idx="179">
                  <c:v>23625.0000000008</c:v>
                </c:pt>
                <c:pt idx="180">
                  <c:v>23679.166666667494</c:v>
                </c:pt>
                <c:pt idx="181">
                  <c:v>23733.333333334187</c:v>
                </c:pt>
                <c:pt idx="182">
                  <c:v>23787.50000000088</c:v>
                </c:pt>
                <c:pt idx="183">
                  <c:v>23841.666666667574</c:v>
                </c:pt>
                <c:pt idx="184">
                  <c:v>23895.833333334267</c:v>
                </c:pt>
                <c:pt idx="185">
                  <c:v>23950.00000000096</c:v>
                </c:pt>
                <c:pt idx="186">
                  <c:v>24004.166666667654</c:v>
                </c:pt>
                <c:pt idx="187">
                  <c:v>24058.333333334347</c:v>
                </c:pt>
                <c:pt idx="188">
                  <c:v>24112.50000000104</c:v>
                </c:pt>
                <c:pt idx="189">
                  <c:v>24166.666666667734</c:v>
                </c:pt>
                <c:pt idx="190">
                  <c:v>24220.833333334427</c:v>
                </c:pt>
                <c:pt idx="191">
                  <c:v>24275.00000000112</c:v>
                </c:pt>
                <c:pt idx="192">
                  <c:v>24329.166666667814</c:v>
                </c:pt>
                <c:pt idx="193">
                  <c:v>24383.333333334507</c:v>
                </c:pt>
                <c:pt idx="194">
                  <c:v>24437.500000001201</c:v>
                </c:pt>
                <c:pt idx="195">
                  <c:v>24491.666666667894</c:v>
                </c:pt>
                <c:pt idx="196">
                  <c:v>24545.833333334587</c:v>
                </c:pt>
                <c:pt idx="197">
                  <c:v>24600.000000001281</c:v>
                </c:pt>
              </c:numCache>
            </c:numRef>
          </c:yVal>
          <c:smooth val="1"/>
        </c:ser>
        <c:ser>
          <c:idx val="18"/>
          <c:order val="18"/>
          <c:tx>
            <c:strRef>
              <c:f>'Temp Corr'!$T$84</c:f>
              <c:strCache>
                <c:ptCount val="1"/>
                <c:pt idx="0">
                  <c:v>MXZ-3C24NA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Corr'!$T$85:$T$282</c:f>
              <c:numCache>
                <c:formatCode>0</c:formatCode>
                <c:ptCount val="198"/>
                <c:pt idx="58">
                  <c:v>11872.5</c:v>
                </c:pt>
                <c:pt idx="59">
                  <c:v>12105</c:v>
                </c:pt>
                <c:pt idx="60">
                  <c:v>12337.5</c:v>
                </c:pt>
                <c:pt idx="61">
                  <c:v>12570</c:v>
                </c:pt>
                <c:pt idx="62">
                  <c:v>12802.5</c:v>
                </c:pt>
                <c:pt idx="63">
                  <c:v>13035</c:v>
                </c:pt>
                <c:pt idx="64">
                  <c:v>13267.5</c:v>
                </c:pt>
                <c:pt idx="65" formatCode="General">
                  <c:v>13500</c:v>
                </c:pt>
                <c:pt idx="66">
                  <c:v>13693.75</c:v>
                </c:pt>
                <c:pt idx="67">
                  <c:v>13887.5</c:v>
                </c:pt>
                <c:pt idx="68">
                  <c:v>14081.25</c:v>
                </c:pt>
                <c:pt idx="69">
                  <c:v>14275</c:v>
                </c:pt>
                <c:pt idx="70">
                  <c:v>14468.75</c:v>
                </c:pt>
                <c:pt idx="71">
                  <c:v>14662.5</c:v>
                </c:pt>
                <c:pt idx="72">
                  <c:v>14856.25</c:v>
                </c:pt>
                <c:pt idx="73">
                  <c:v>15050</c:v>
                </c:pt>
                <c:pt idx="74">
                  <c:v>15243.75</c:v>
                </c:pt>
                <c:pt idx="75">
                  <c:v>15437.5</c:v>
                </c:pt>
                <c:pt idx="76">
                  <c:v>15631.25</c:v>
                </c:pt>
                <c:pt idx="77">
                  <c:v>15825</c:v>
                </c:pt>
                <c:pt idx="78">
                  <c:v>16018.75</c:v>
                </c:pt>
                <c:pt idx="79">
                  <c:v>16212.5</c:v>
                </c:pt>
                <c:pt idx="80">
                  <c:v>16406.25</c:v>
                </c:pt>
                <c:pt idx="81">
                  <c:v>16600</c:v>
                </c:pt>
                <c:pt idx="82">
                  <c:v>16793.75</c:v>
                </c:pt>
                <c:pt idx="83">
                  <c:v>16987.5</c:v>
                </c:pt>
                <c:pt idx="84">
                  <c:v>17181.25</c:v>
                </c:pt>
                <c:pt idx="85">
                  <c:v>17375</c:v>
                </c:pt>
                <c:pt idx="86">
                  <c:v>17568.75</c:v>
                </c:pt>
                <c:pt idx="87">
                  <c:v>17762.5</c:v>
                </c:pt>
                <c:pt idx="88">
                  <c:v>17956.25</c:v>
                </c:pt>
                <c:pt idx="89" formatCode="General">
                  <c:v>18150</c:v>
                </c:pt>
                <c:pt idx="90">
                  <c:v>18264.166666666668</c:v>
                </c:pt>
                <c:pt idx="91">
                  <c:v>18378.333333333336</c:v>
                </c:pt>
                <c:pt idx="92">
                  <c:v>18492.500000000004</c:v>
                </c:pt>
                <c:pt idx="93">
                  <c:v>18606.666666666672</c:v>
                </c:pt>
                <c:pt idx="94">
                  <c:v>18720.833333333339</c:v>
                </c:pt>
                <c:pt idx="95">
                  <c:v>18835.000000000007</c:v>
                </c:pt>
                <c:pt idx="96">
                  <c:v>18949.166666666675</c:v>
                </c:pt>
                <c:pt idx="97">
                  <c:v>19063.333333333343</c:v>
                </c:pt>
                <c:pt idx="98">
                  <c:v>19177.500000000011</c:v>
                </c:pt>
                <c:pt idx="99">
                  <c:v>19291.666666666679</c:v>
                </c:pt>
                <c:pt idx="100">
                  <c:v>19405.833333333347</c:v>
                </c:pt>
                <c:pt idx="101">
                  <c:v>19520.000000000015</c:v>
                </c:pt>
                <c:pt idx="102">
                  <c:v>19634.166666666682</c:v>
                </c:pt>
                <c:pt idx="103">
                  <c:v>19748.33333333335</c:v>
                </c:pt>
                <c:pt idx="104">
                  <c:v>19862.500000000018</c:v>
                </c:pt>
                <c:pt idx="105">
                  <c:v>19976.666666666686</c:v>
                </c:pt>
                <c:pt idx="106">
                  <c:v>20090.833333333354</c:v>
                </c:pt>
                <c:pt idx="107">
                  <c:v>20205.000000000022</c:v>
                </c:pt>
                <c:pt idx="108">
                  <c:v>20319.16666666669</c:v>
                </c:pt>
                <c:pt idx="109">
                  <c:v>20433.333333333358</c:v>
                </c:pt>
                <c:pt idx="110">
                  <c:v>20547.500000000025</c:v>
                </c:pt>
                <c:pt idx="111">
                  <c:v>20661.666666666693</c:v>
                </c:pt>
                <c:pt idx="112">
                  <c:v>20775.833333333361</c:v>
                </c:pt>
                <c:pt idx="113">
                  <c:v>20890.000000000029</c:v>
                </c:pt>
                <c:pt idx="114">
                  <c:v>21004.166666666697</c:v>
                </c:pt>
                <c:pt idx="115">
                  <c:v>21118.333333333365</c:v>
                </c:pt>
                <c:pt idx="116">
                  <c:v>21232.500000000033</c:v>
                </c:pt>
                <c:pt idx="117">
                  <c:v>21346.666666666701</c:v>
                </c:pt>
                <c:pt idx="118">
                  <c:v>21460.833333333369</c:v>
                </c:pt>
                <c:pt idx="119">
                  <c:v>21575.000000000036</c:v>
                </c:pt>
                <c:pt idx="120">
                  <c:v>21689.166666666704</c:v>
                </c:pt>
                <c:pt idx="121">
                  <c:v>21803.333333333372</c:v>
                </c:pt>
                <c:pt idx="122">
                  <c:v>21917.50000000004</c:v>
                </c:pt>
                <c:pt idx="123">
                  <c:v>22031.666666666708</c:v>
                </c:pt>
                <c:pt idx="124">
                  <c:v>22145.833333333376</c:v>
                </c:pt>
                <c:pt idx="125">
                  <c:v>22260.000000000044</c:v>
                </c:pt>
                <c:pt idx="126">
                  <c:v>22374.166666666712</c:v>
                </c:pt>
                <c:pt idx="127">
                  <c:v>22488.333333333379</c:v>
                </c:pt>
                <c:pt idx="128">
                  <c:v>22602.500000000047</c:v>
                </c:pt>
                <c:pt idx="129">
                  <c:v>22716.666666666715</c:v>
                </c:pt>
                <c:pt idx="130">
                  <c:v>22830.833333333383</c:v>
                </c:pt>
                <c:pt idx="131">
                  <c:v>22945.000000000051</c:v>
                </c:pt>
                <c:pt idx="132">
                  <c:v>23059.166666666719</c:v>
                </c:pt>
                <c:pt idx="133">
                  <c:v>23173.333333333387</c:v>
                </c:pt>
                <c:pt idx="134">
                  <c:v>23287.500000000055</c:v>
                </c:pt>
                <c:pt idx="135">
                  <c:v>23401.666666666722</c:v>
                </c:pt>
                <c:pt idx="136">
                  <c:v>23515.83333333339</c:v>
                </c:pt>
                <c:pt idx="137">
                  <c:v>23630.000000000058</c:v>
                </c:pt>
                <c:pt idx="138">
                  <c:v>23744.166666666726</c:v>
                </c:pt>
                <c:pt idx="139">
                  <c:v>23858.333333333394</c:v>
                </c:pt>
                <c:pt idx="140">
                  <c:v>23972.500000000062</c:v>
                </c:pt>
                <c:pt idx="141">
                  <c:v>24086.66666666673</c:v>
                </c:pt>
                <c:pt idx="142">
                  <c:v>24200.833333333398</c:v>
                </c:pt>
                <c:pt idx="143">
                  <c:v>24315.000000000065</c:v>
                </c:pt>
                <c:pt idx="144">
                  <c:v>24429.166666666733</c:v>
                </c:pt>
                <c:pt idx="145">
                  <c:v>24543.333333333401</c:v>
                </c:pt>
                <c:pt idx="146">
                  <c:v>24657.500000000069</c:v>
                </c:pt>
                <c:pt idx="147">
                  <c:v>24771.666666666737</c:v>
                </c:pt>
                <c:pt idx="148">
                  <c:v>24885.833333333405</c:v>
                </c:pt>
                <c:pt idx="149" formatCode="General">
                  <c:v>25000</c:v>
                </c:pt>
                <c:pt idx="150">
                  <c:v>25057.083333333299</c:v>
                </c:pt>
                <c:pt idx="151">
                  <c:v>25114.166666666599</c:v>
                </c:pt>
                <c:pt idx="152">
                  <c:v>25171.249999999898</c:v>
                </c:pt>
                <c:pt idx="153">
                  <c:v>25228.333333333198</c:v>
                </c:pt>
                <c:pt idx="154">
                  <c:v>25285.416666666497</c:v>
                </c:pt>
                <c:pt idx="155">
                  <c:v>25342.499999999796</c:v>
                </c:pt>
                <c:pt idx="156">
                  <c:v>25399.583333333096</c:v>
                </c:pt>
                <c:pt idx="157">
                  <c:v>25456.666666666395</c:v>
                </c:pt>
                <c:pt idx="158">
                  <c:v>25513.749999999694</c:v>
                </c:pt>
                <c:pt idx="159">
                  <c:v>25570.833333332994</c:v>
                </c:pt>
                <c:pt idx="160">
                  <c:v>25627.916666666293</c:v>
                </c:pt>
                <c:pt idx="161">
                  <c:v>25684.999999999593</c:v>
                </c:pt>
                <c:pt idx="162">
                  <c:v>25742.083333332892</c:v>
                </c:pt>
                <c:pt idx="163">
                  <c:v>25799.166666666191</c:v>
                </c:pt>
                <c:pt idx="164">
                  <c:v>25856.249999999491</c:v>
                </c:pt>
                <c:pt idx="165">
                  <c:v>25913.33333333279</c:v>
                </c:pt>
                <c:pt idx="166">
                  <c:v>25970.416666666089</c:v>
                </c:pt>
                <c:pt idx="167">
                  <c:v>26027.499999999389</c:v>
                </c:pt>
                <c:pt idx="168">
                  <c:v>26084.583333332688</c:v>
                </c:pt>
                <c:pt idx="169">
                  <c:v>26141.666666665988</c:v>
                </c:pt>
                <c:pt idx="170">
                  <c:v>26198.749999999287</c:v>
                </c:pt>
                <c:pt idx="171">
                  <c:v>26255.833333332586</c:v>
                </c:pt>
                <c:pt idx="172">
                  <c:v>26312.916666665886</c:v>
                </c:pt>
                <c:pt idx="173">
                  <c:v>26369.999999999185</c:v>
                </c:pt>
                <c:pt idx="174">
                  <c:v>26427.083333332484</c:v>
                </c:pt>
                <c:pt idx="175">
                  <c:v>26484.166666665784</c:v>
                </c:pt>
                <c:pt idx="176">
                  <c:v>26541.249999999083</c:v>
                </c:pt>
                <c:pt idx="177">
                  <c:v>26598.333333332383</c:v>
                </c:pt>
                <c:pt idx="178">
                  <c:v>26655.416666665682</c:v>
                </c:pt>
                <c:pt idx="179">
                  <c:v>26712.499999998981</c:v>
                </c:pt>
                <c:pt idx="180">
                  <c:v>26769.583333332281</c:v>
                </c:pt>
                <c:pt idx="181">
                  <c:v>26826.66666666558</c:v>
                </c:pt>
                <c:pt idx="182">
                  <c:v>26883.74999999888</c:v>
                </c:pt>
                <c:pt idx="183">
                  <c:v>26940.833333332179</c:v>
                </c:pt>
                <c:pt idx="184">
                  <c:v>26997.916666665478</c:v>
                </c:pt>
                <c:pt idx="185">
                  <c:v>27054.999999998778</c:v>
                </c:pt>
                <c:pt idx="186">
                  <c:v>27112.083333332077</c:v>
                </c:pt>
                <c:pt idx="187">
                  <c:v>27169.166666665376</c:v>
                </c:pt>
                <c:pt idx="188">
                  <c:v>27226.249999998676</c:v>
                </c:pt>
                <c:pt idx="189">
                  <c:v>27283.333333331975</c:v>
                </c:pt>
                <c:pt idx="190">
                  <c:v>27340.416666665275</c:v>
                </c:pt>
                <c:pt idx="191">
                  <c:v>27397.499999998574</c:v>
                </c:pt>
                <c:pt idx="192">
                  <c:v>27454.583333331873</c:v>
                </c:pt>
                <c:pt idx="193">
                  <c:v>27511.666666665173</c:v>
                </c:pt>
                <c:pt idx="194">
                  <c:v>27568.749999998472</c:v>
                </c:pt>
                <c:pt idx="195">
                  <c:v>27625.833333331771</c:v>
                </c:pt>
                <c:pt idx="196">
                  <c:v>27682.916666665071</c:v>
                </c:pt>
                <c:pt idx="197">
                  <c:v>27739.99999999837</c:v>
                </c:pt>
              </c:numCache>
            </c:numRef>
          </c:yVal>
          <c:smooth val="1"/>
        </c:ser>
        <c:ser>
          <c:idx val="19"/>
          <c:order val="19"/>
          <c:tx>
            <c:strRef>
              <c:f>'Temp Corr'!$U$84</c:f>
              <c:strCache>
                <c:ptCount val="1"/>
                <c:pt idx="0">
                  <c:v>MXZ-3C30NA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Corr'!$U$85:$U$282</c:f>
              <c:numCache>
                <c:formatCode>0</c:formatCode>
                <c:ptCount val="198"/>
                <c:pt idx="58">
                  <c:v>13768.04000000001</c:v>
                </c:pt>
                <c:pt idx="59">
                  <c:v>14048.320000000009</c:v>
                </c:pt>
                <c:pt idx="60">
                  <c:v>14328.600000000008</c:v>
                </c:pt>
                <c:pt idx="61">
                  <c:v>14608.880000000006</c:v>
                </c:pt>
                <c:pt idx="62">
                  <c:v>14889.160000000005</c:v>
                </c:pt>
                <c:pt idx="63">
                  <c:v>15169.440000000004</c:v>
                </c:pt>
                <c:pt idx="64">
                  <c:v>15449.720000000003</c:v>
                </c:pt>
                <c:pt idx="65" formatCode="General">
                  <c:v>15730.000000000002</c:v>
                </c:pt>
                <c:pt idx="66">
                  <c:v>15963.566666666668</c:v>
                </c:pt>
                <c:pt idx="67">
                  <c:v>16197.133333333333</c:v>
                </c:pt>
                <c:pt idx="68">
                  <c:v>16430.7</c:v>
                </c:pt>
                <c:pt idx="69">
                  <c:v>16664.266666666666</c:v>
                </c:pt>
                <c:pt idx="70">
                  <c:v>16897.833333333332</c:v>
                </c:pt>
                <c:pt idx="71">
                  <c:v>17131.399999999998</c:v>
                </c:pt>
                <c:pt idx="72">
                  <c:v>17364.966666666664</c:v>
                </c:pt>
                <c:pt idx="73">
                  <c:v>17598.533333333329</c:v>
                </c:pt>
                <c:pt idx="74">
                  <c:v>17832.099999999995</c:v>
                </c:pt>
                <c:pt idx="75">
                  <c:v>18065.666666666661</c:v>
                </c:pt>
                <c:pt idx="76">
                  <c:v>18299.233333333326</c:v>
                </c:pt>
                <c:pt idx="77">
                  <c:v>18532.799999999992</c:v>
                </c:pt>
                <c:pt idx="78">
                  <c:v>18766.366666666658</c:v>
                </c:pt>
                <c:pt idx="79">
                  <c:v>18999.933333333323</c:v>
                </c:pt>
                <c:pt idx="80">
                  <c:v>19233.499999999989</c:v>
                </c:pt>
                <c:pt idx="81">
                  <c:v>19467.066666666655</c:v>
                </c:pt>
                <c:pt idx="82">
                  <c:v>19700.63333333332</c:v>
                </c:pt>
                <c:pt idx="83">
                  <c:v>19934.199999999986</c:v>
                </c:pt>
                <c:pt idx="84">
                  <c:v>20167.766666666652</c:v>
                </c:pt>
                <c:pt idx="85">
                  <c:v>20401.333333333318</c:v>
                </c:pt>
                <c:pt idx="86">
                  <c:v>20634.899999999983</c:v>
                </c:pt>
                <c:pt idx="87">
                  <c:v>20868.466666666649</c:v>
                </c:pt>
                <c:pt idx="88">
                  <c:v>21102.033333333315</c:v>
                </c:pt>
                <c:pt idx="89" formatCode="General">
                  <c:v>21335.599999999999</c:v>
                </c:pt>
                <c:pt idx="90">
                  <c:v>21456.673333333332</c:v>
                </c:pt>
                <c:pt idx="91">
                  <c:v>21577.746666666666</c:v>
                </c:pt>
                <c:pt idx="92">
                  <c:v>21698.82</c:v>
                </c:pt>
                <c:pt idx="93">
                  <c:v>21819.893333333333</c:v>
                </c:pt>
                <c:pt idx="94">
                  <c:v>21940.966666666667</c:v>
                </c:pt>
                <c:pt idx="95">
                  <c:v>22062.04</c:v>
                </c:pt>
                <c:pt idx="96">
                  <c:v>22183.113333333335</c:v>
                </c:pt>
                <c:pt idx="97">
                  <c:v>22304.186666666668</c:v>
                </c:pt>
                <c:pt idx="98">
                  <c:v>22425.260000000002</c:v>
                </c:pt>
                <c:pt idx="99">
                  <c:v>22546.333333333336</c:v>
                </c:pt>
                <c:pt idx="100">
                  <c:v>22667.406666666669</c:v>
                </c:pt>
                <c:pt idx="101">
                  <c:v>22788.480000000003</c:v>
                </c:pt>
                <c:pt idx="102">
                  <c:v>22909.553333333337</c:v>
                </c:pt>
                <c:pt idx="103">
                  <c:v>23030.626666666671</c:v>
                </c:pt>
                <c:pt idx="104">
                  <c:v>23151.700000000004</c:v>
                </c:pt>
                <c:pt idx="105">
                  <c:v>23272.773333333338</c:v>
                </c:pt>
                <c:pt idx="106">
                  <c:v>23393.846666666672</c:v>
                </c:pt>
                <c:pt idx="107">
                  <c:v>23514.920000000006</c:v>
                </c:pt>
                <c:pt idx="108">
                  <c:v>23635.993333333339</c:v>
                </c:pt>
                <c:pt idx="109">
                  <c:v>23757.066666666673</c:v>
                </c:pt>
                <c:pt idx="110">
                  <c:v>23878.140000000007</c:v>
                </c:pt>
                <c:pt idx="111">
                  <c:v>23999.21333333334</c:v>
                </c:pt>
                <c:pt idx="112">
                  <c:v>24120.286666666674</c:v>
                </c:pt>
                <c:pt idx="113">
                  <c:v>24241.360000000008</c:v>
                </c:pt>
                <c:pt idx="114">
                  <c:v>24362.433333333342</c:v>
                </c:pt>
                <c:pt idx="115">
                  <c:v>24483.506666666675</c:v>
                </c:pt>
                <c:pt idx="116">
                  <c:v>24604.580000000009</c:v>
                </c:pt>
                <c:pt idx="117">
                  <c:v>24725.653333333343</c:v>
                </c:pt>
                <c:pt idx="118">
                  <c:v>24846.726666666676</c:v>
                </c:pt>
                <c:pt idx="119">
                  <c:v>24967.80000000001</c:v>
                </c:pt>
                <c:pt idx="120">
                  <c:v>25088.873333333344</c:v>
                </c:pt>
                <c:pt idx="121">
                  <c:v>25209.946666666678</c:v>
                </c:pt>
                <c:pt idx="122">
                  <c:v>25331.020000000011</c:v>
                </c:pt>
                <c:pt idx="123">
                  <c:v>25452.093333333345</c:v>
                </c:pt>
                <c:pt idx="124">
                  <c:v>25573.166666666679</c:v>
                </c:pt>
                <c:pt idx="125">
                  <c:v>25694.240000000013</c:v>
                </c:pt>
                <c:pt idx="126">
                  <c:v>25815.313333333346</c:v>
                </c:pt>
                <c:pt idx="127">
                  <c:v>25936.38666666668</c:v>
                </c:pt>
                <c:pt idx="128">
                  <c:v>26057.460000000014</c:v>
                </c:pt>
                <c:pt idx="129">
                  <c:v>26178.533333333347</c:v>
                </c:pt>
                <c:pt idx="130">
                  <c:v>26299.606666666681</c:v>
                </c:pt>
                <c:pt idx="131">
                  <c:v>26420.680000000015</c:v>
                </c:pt>
                <c:pt idx="132">
                  <c:v>26541.753333333349</c:v>
                </c:pt>
                <c:pt idx="133">
                  <c:v>26662.826666666682</c:v>
                </c:pt>
                <c:pt idx="134">
                  <c:v>26783.900000000016</c:v>
                </c:pt>
                <c:pt idx="135">
                  <c:v>26904.97333333335</c:v>
                </c:pt>
                <c:pt idx="136">
                  <c:v>27026.046666666683</c:v>
                </c:pt>
                <c:pt idx="137">
                  <c:v>27147.120000000017</c:v>
                </c:pt>
                <c:pt idx="138">
                  <c:v>27268.193333333351</c:v>
                </c:pt>
                <c:pt idx="139">
                  <c:v>27389.266666666685</c:v>
                </c:pt>
                <c:pt idx="140">
                  <c:v>27510.340000000018</c:v>
                </c:pt>
                <c:pt idx="141">
                  <c:v>27631.413333333352</c:v>
                </c:pt>
                <c:pt idx="142">
                  <c:v>27752.486666666686</c:v>
                </c:pt>
                <c:pt idx="143">
                  <c:v>27873.560000000019</c:v>
                </c:pt>
                <c:pt idx="144">
                  <c:v>27994.633333333353</c:v>
                </c:pt>
                <c:pt idx="145">
                  <c:v>28115.706666666687</c:v>
                </c:pt>
                <c:pt idx="146">
                  <c:v>28236.780000000021</c:v>
                </c:pt>
                <c:pt idx="147">
                  <c:v>28357.853333333354</c:v>
                </c:pt>
                <c:pt idx="148">
                  <c:v>28478.926666666688</c:v>
                </c:pt>
                <c:pt idx="149" formatCode="General">
                  <c:v>28600</c:v>
                </c:pt>
                <c:pt idx="150">
                  <c:v>28660.536666666656</c:v>
                </c:pt>
                <c:pt idx="151">
                  <c:v>28721.073333333312</c:v>
                </c:pt>
                <c:pt idx="152">
                  <c:v>28781.609999999968</c:v>
                </c:pt>
                <c:pt idx="153">
                  <c:v>28842.146666666624</c:v>
                </c:pt>
                <c:pt idx="154">
                  <c:v>28902.68333333328</c:v>
                </c:pt>
                <c:pt idx="155">
                  <c:v>28963.219999999936</c:v>
                </c:pt>
                <c:pt idx="156">
                  <c:v>29023.756666666592</c:v>
                </c:pt>
                <c:pt idx="157">
                  <c:v>29084.293333333248</c:v>
                </c:pt>
                <c:pt idx="158">
                  <c:v>29144.829999999904</c:v>
                </c:pt>
                <c:pt idx="159">
                  <c:v>29205.366666666559</c:v>
                </c:pt>
                <c:pt idx="160">
                  <c:v>29265.903333333215</c:v>
                </c:pt>
                <c:pt idx="161">
                  <c:v>29326.439999999871</c:v>
                </c:pt>
                <c:pt idx="162">
                  <c:v>29386.976666666527</c:v>
                </c:pt>
                <c:pt idx="163">
                  <c:v>29447.513333333183</c:v>
                </c:pt>
                <c:pt idx="164">
                  <c:v>29508.049999999839</c:v>
                </c:pt>
                <c:pt idx="165">
                  <c:v>29568.586666666495</c:v>
                </c:pt>
                <c:pt idx="166">
                  <c:v>29629.123333333151</c:v>
                </c:pt>
                <c:pt idx="167">
                  <c:v>29689.659999999807</c:v>
                </c:pt>
                <c:pt idx="168">
                  <c:v>29750.196666666463</c:v>
                </c:pt>
                <c:pt idx="169">
                  <c:v>29810.733333333119</c:v>
                </c:pt>
                <c:pt idx="170">
                  <c:v>29871.269999999775</c:v>
                </c:pt>
                <c:pt idx="171">
                  <c:v>29931.806666666431</c:v>
                </c:pt>
                <c:pt idx="172">
                  <c:v>29992.343333333087</c:v>
                </c:pt>
                <c:pt idx="173">
                  <c:v>30052.879999999743</c:v>
                </c:pt>
                <c:pt idx="174">
                  <c:v>30113.416666666399</c:v>
                </c:pt>
                <c:pt idx="175">
                  <c:v>30173.953333333055</c:v>
                </c:pt>
                <c:pt idx="176">
                  <c:v>30234.489999999711</c:v>
                </c:pt>
                <c:pt idx="177">
                  <c:v>30295.026666666367</c:v>
                </c:pt>
                <c:pt idx="178">
                  <c:v>30355.563333333022</c:v>
                </c:pt>
                <c:pt idx="179">
                  <c:v>30416.099999999678</c:v>
                </c:pt>
                <c:pt idx="180">
                  <c:v>30476.636666666334</c:v>
                </c:pt>
                <c:pt idx="181">
                  <c:v>30537.17333333299</c:v>
                </c:pt>
                <c:pt idx="182">
                  <c:v>30597.709999999646</c:v>
                </c:pt>
                <c:pt idx="183">
                  <c:v>30658.246666666302</c:v>
                </c:pt>
                <c:pt idx="184">
                  <c:v>30718.783333332958</c:v>
                </c:pt>
                <c:pt idx="185">
                  <c:v>30779.319999999614</c:v>
                </c:pt>
                <c:pt idx="186">
                  <c:v>30839.85666666627</c:v>
                </c:pt>
                <c:pt idx="187">
                  <c:v>30900.393333332926</c:v>
                </c:pt>
                <c:pt idx="188">
                  <c:v>30960.929999999582</c:v>
                </c:pt>
                <c:pt idx="189">
                  <c:v>31021.466666666238</c:v>
                </c:pt>
                <c:pt idx="190">
                  <c:v>31082.003333332894</c:v>
                </c:pt>
                <c:pt idx="191">
                  <c:v>31142.53999999955</c:v>
                </c:pt>
                <c:pt idx="192">
                  <c:v>31203.076666666206</c:v>
                </c:pt>
                <c:pt idx="193">
                  <c:v>31263.613333332862</c:v>
                </c:pt>
                <c:pt idx="194">
                  <c:v>31324.149999999518</c:v>
                </c:pt>
                <c:pt idx="195">
                  <c:v>31384.686666666174</c:v>
                </c:pt>
                <c:pt idx="196">
                  <c:v>31445.223333332829</c:v>
                </c:pt>
                <c:pt idx="197">
                  <c:v>31505.759999999485</c:v>
                </c:pt>
              </c:numCache>
            </c:numRef>
          </c:yVal>
          <c:smooth val="1"/>
        </c:ser>
        <c:ser>
          <c:idx val="20"/>
          <c:order val="20"/>
          <c:tx>
            <c:strRef>
              <c:f>'Temp Corr'!$V$84</c:f>
              <c:strCache>
                <c:ptCount val="1"/>
                <c:pt idx="0">
                  <c:v>MXZ-4C36NA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Corr'!$V$85:$V$282</c:f>
              <c:numCache>
                <c:formatCode>0</c:formatCode>
                <c:ptCount val="198"/>
                <c:pt idx="58">
                  <c:v>16376.400000000005</c:v>
                </c:pt>
                <c:pt idx="59">
                  <c:v>16711.200000000004</c:v>
                </c:pt>
                <c:pt idx="60">
                  <c:v>17046.000000000004</c:v>
                </c:pt>
                <c:pt idx="61">
                  <c:v>17380.800000000003</c:v>
                </c:pt>
                <c:pt idx="62">
                  <c:v>17715.600000000002</c:v>
                </c:pt>
                <c:pt idx="63">
                  <c:v>18050.400000000001</c:v>
                </c:pt>
                <c:pt idx="64">
                  <c:v>18385.2</c:v>
                </c:pt>
                <c:pt idx="65" formatCode="General">
                  <c:v>18720</c:v>
                </c:pt>
                <c:pt idx="66">
                  <c:v>18999</c:v>
                </c:pt>
                <c:pt idx="67">
                  <c:v>19278</c:v>
                </c:pt>
                <c:pt idx="68">
                  <c:v>19557</c:v>
                </c:pt>
                <c:pt idx="69">
                  <c:v>19836</c:v>
                </c:pt>
                <c:pt idx="70">
                  <c:v>20115</c:v>
                </c:pt>
                <c:pt idx="71">
                  <c:v>20394</c:v>
                </c:pt>
                <c:pt idx="72">
                  <c:v>20673</c:v>
                </c:pt>
                <c:pt idx="73">
                  <c:v>20952</c:v>
                </c:pt>
                <c:pt idx="74">
                  <c:v>21231</c:v>
                </c:pt>
                <c:pt idx="75">
                  <c:v>21510</c:v>
                </c:pt>
                <c:pt idx="76">
                  <c:v>21789</c:v>
                </c:pt>
                <c:pt idx="77">
                  <c:v>22068</c:v>
                </c:pt>
                <c:pt idx="78">
                  <c:v>22347</c:v>
                </c:pt>
                <c:pt idx="79">
                  <c:v>22626</c:v>
                </c:pt>
                <c:pt idx="80">
                  <c:v>22905</c:v>
                </c:pt>
                <c:pt idx="81">
                  <c:v>23184</c:v>
                </c:pt>
                <c:pt idx="82">
                  <c:v>23463</c:v>
                </c:pt>
                <c:pt idx="83">
                  <c:v>23742</c:v>
                </c:pt>
                <c:pt idx="84">
                  <c:v>24021</c:v>
                </c:pt>
                <c:pt idx="85">
                  <c:v>24300</c:v>
                </c:pt>
                <c:pt idx="86">
                  <c:v>24579</c:v>
                </c:pt>
                <c:pt idx="87">
                  <c:v>24858</c:v>
                </c:pt>
                <c:pt idx="88">
                  <c:v>25137</c:v>
                </c:pt>
                <c:pt idx="89" formatCode="General">
                  <c:v>25416</c:v>
                </c:pt>
                <c:pt idx="90">
                  <c:v>25592.400000000001</c:v>
                </c:pt>
                <c:pt idx="91">
                  <c:v>25768.800000000003</c:v>
                </c:pt>
                <c:pt idx="92">
                  <c:v>25945.200000000004</c:v>
                </c:pt>
                <c:pt idx="93">
                  <c:v>26121.600000000006</c:v>
                </c:pt>
                <c:pt idx="94">
                  <c:v>26298.000000000007</c:v>
                </c:pt>
                <c:pt idx="95">
                  <c:v>26474.400000000009</c:v>
                </c:pt>
                <c:pt idx="96">
                  <c:v>26650.80000000001</c:v>
                </c:pt>
                <c:pt idx="97">
                  <c:v>26827.200000000012</c:v>
                </c:pt>
                <c:pt idx="98">
                  <c:v>27003.600000000013</c:v>
                </c:pt>
                <c:pt idx="99">
                  <c:v>27180.000000000015</c:v>
                </c:pt>
                <c:pt idx="100">
                  <c:v>27356.400000000016</c:v>
                </c:pt>
                <c:pt idx="101">
                  <c:v>27532.800000000017</c:v>
                </c:pt>
                <c:pt idx="102">
                  <c:v>27709.200000000019</c:v>
                </c:pt>
                <c:pt idx="103">
                  <c:v>27885.60000000002</c:v>
                </c:pt>
                <c:pt idx="104">
                  <c:v>28062.000000000022</c:v>
                </c:pt>
                <c:pt idx="105">
                  <c:v>28238.400000000023</c:v>
                </c:pt>
                <c:pt idx="106">
                  <c:v>28414.800000000025</c:v>
                </c:pt>
                <c:pt idx="107">
                  <c:v>28591.200000000026</c:v>
                </c:pt>
                <c:pt idx="108">
                  <c:v>28767.600000000028</c:v>
                </c:pt>
                <c:pt idx="109">
                  <c:v>28944.000000000029</c:v>
                </c:pt>
                <c:pt idx="110">
                  <c:v>29120.400000000031</c:v>
                </c:pt>
                <c:pt idx="111">
                  <c:v>29296.800000000032</c:v>
                </c:pt>
                <c:pt idx="112">
                  <c:v>29473.200000000033</c:v>
                </c:pt>
                <c:pt idx="113">
                  <c:v>29649.600000000035</c:v>
                </c:pt>
                <c:pt idx="114">
                  <c:v>29826.000000000036</c:v>
                </c:pt>
                <c:pt idx="115">
                  <c:v>30002.400000000038</c:v>
                </c:pt>
                <c:pt idx="116">
                  <c:v>30178.800000000039</c:v>
                </c:pt>
                <c:pt idx="117">
                  <c:v>30355.200000000041</c:v>
                </c:pt>
                <c:pt idx="118">
                  <c:v>30531.600000000042</c:v>
                </c:pt>
                <c:pt idx="119">
                  <c:v>30708.000000000044</c:v>
                </c:pt>
                <c:pt idx="120">
                  <c:v>30884.400000000045</c:v>
                </c:pt>
                <c:pt idx="121">
                  <c:v>31060.800000000047</c:v>
                </c:pt>
                <c:pt idx="122">
                  <c:v>31237.200000000048</c:v>
                </c:pt>
                <c:pt idx="123">
                  <c:v>31413.600000000049</c:v>
                </c:pt>
                <c:pt idx="124">
                  <c:v>31590.000000000051</c:v>
                </c:pt>
                <c:pt idx="125">
                  <c:v>31766.400000000052</c:v>
                </c:pt>
                <c:pt idx="126">
                  <c:v>31942.800000000054</c:v>
                </c:pt>
                <c:pt idx="127">
                  <c:v>32119.200000000055</c:v>
                </c:pt>
                <c:pt idx="128">
                  <c:v>32295.600000000057</c:v>
                </c:pt>
                <c:pt idx="129">
                  <c:v>32472.000000000058</c:v>
                </c:pt>
                <c:pt idx="130">
                  <c:v>32648.40000000006</c:v>
                </c:pt>
                <c:pt idx="131">
                  <c:v>32824.800000000061</c:v>
                </c:pt>
                <c:pt idx="132">
                  <c:v>33001.200000000063</c:v>
                </c:pt>
                <c:pt idx="133">
                  <c:v>33177.600000000064</c:v>
                </c:pt>
                <c:pt idx="134">
                  <c:v>33354.000000000065</c:v>
                </c:pt>
                <c:pt idx="135">
                  <c:v>33530.400000000067</c:v>
                </c:pt>
                <c:pt idx="136">
                  <c:v>33706.800000000068</c:v>
                </c:pt>
                <c:pt idx="137">
                  <c:v>33883.20000000007</c:v>
                </c:pt>
                <c:pt idx="138">
                  <c:v>34059.600000000071</c:v>
                </c:pt>
                <c:pt idx="139">
                  <c:v>34236.000000000073</c:v>
                </c:pt>
                <c:pt idx="140">
                  <c:v>34412.400000000074</c:v>
                </c:pt>
                <c:pt idx="141">
                  <c:v>34588.800000000076</c:v>
                </c:pt>
                <c:pt idx="142">
                  <c:v>34765.200000000077</c:v>
                </c:pt>
                <c:pt idx="143">
                  <c:v>34941.600000000079</c:v>
                </c:pt>
                <c:pt idx="144">
                  <c:v>35118.00000000008</c:v>
                </c:pt>
                <c:pt idx="145">
                  <c:v>35294.400000000081</c:v>
                </c:pt>
                <c:pt idx="146">
                  <c:v>35470.800000000083</c:v>
                </c:pt>
                <c:pt idx="147">
                  <c:v>35647.200000000084</c:v>
                </c:pt>
                <c:pt idx="148">
                  <c:v>35823.600000000086</c:v>
                </c:pt>
                <c:pt idx="149" formatCode="General">
                  <c:v>36000</c:v>
                </c:pt>
                <c:pt idx="150">
                  <c:v>36088.199999999953</c:v>
                </c:pt>
                <c:pt idx="151">
                  <c:v>36176.399999999907</c:v>
                </c:pt>
                <c:pt idx="152">
                  <c:v>36264.59999999986</c:v>
                </c:pt>
                <c:pt idx="153">
                  <c:v>36352.799999999814</c:v>
                </c:pt>
                <c:pt idx="154">
                  <c:v>36440.999999999767</c:v>
                </c:pt>
                <c:pt idx="155">
                  <c:v>36529.199999999721</c:v>
                </c:pt>
                <c:pt idx="156">
                  <c:v>36617.399999999674</c:v>
                </c:pt>
                <c:pt idx="157">
                  <c:v>36705.599999999627</c:v>
                </c:pt>
                <c:pt idx="158">
                  <c:v>36793.799999999581</c:v>
                </c:pt>
                <c:pt idx="159">
                  <c:v>36881.999999999534</c:v>
                </c:pt>
                <c:pt idx="160">
                  <c:v>36970.199999999488</c:v>
                </c:pt>
                <c:pt idx="161">
                  <c:v>37058.399999999441</c:v>
                </c:pt>
                <c:pt idx="162">
                  <c:v>37146.599999999395</c:v>
                </c:pt>
                <c:pt idx="163">
                  <c:v>37234.799999999348</c:v>
                </c:pt>
                <c:pt idx="164">
                  <c:v>37322.999999999302</c:v>
                </c:pt>
                <c:pt idx="165">
                  <c:v>37411.199999999255</c:v>
                </c:pt>
                <c:pt idx="166">
                  <c:v>37499.399999999208</c:v>
                </c:pt>
                <c:pt idx="167">
                  <c:v>37587.599999999162</c:v>
                </c:pt>
                <c:pt idx="168">
                  <c:v>37675.799999999115</c:v>
                </c:pt>
                <c:pt idx="169">
                  <c:v>37763.999999999069</c:v>
                </c:pt>
                <c:pt idx="170">
                  <c:v>37852.199999999022</c:v>
                </c:pt>
                <c:pt idx="171">
                  <c:v>37940.399999998976</c:v>
                </c:pt>
                <c:pt idx="172">
                  <c:v>38028.599999998929</c:v>
                </c:pt>
                <c:pt idx="173">
                  <c:v>38116.799999998882</c:v>
                </c:pt>
                <c:pt idx="174">
                  <c:v>38204.999999998836</c:v>
                </c:pt>
                <c:pt idx="175">
                  <c:v>38293.199999998789</c:v>
                </c:pt>
                <c:pt idx="176">
                  <c:v>38381.399999998743</c:v>
                </c:pt>
                <c:pt idx="177">
                  <c:v>38469.599999998696</c:v>
                </c:pt>
                <c:pt idx="178">
                  <c:v>38557.79999999865</c:v>
                </c:pt>
                <c:pt idx="179">
                  <c:v>38645.999999998603</c:v>
                </c:pt>
                <c:pt idx="180">
                  <c:v>38734.199999998556</c:v>
                </c:pt>
                <c:pt idx="181">
                  <c:v>38822.39999999851</c:v>
                </c:pt>
                <c:pt idx="182">
                  <c:v>38910.599999998463</c:v>
                </c:pt>
                <c:pt idx="183">
                  <c:v>38998.799999998417</c:v>
                </c:pt>
                <c:pt idx="184">
                  <c:v>39086.99999999837</c:v>
                </c:pt>
                <c:pt idx="185">
                  <c:v>39175.199999998324</c:v>
                </c:pt>
                <c:pt idx="186">
                  <c:v>39263.399999998277</c:v>
                </c:pt>
                <c:pt idx="187">
                  <c:v>39351.59999999823</c:v>
                </c:pt>
                <c:pt idx="188">
                  <c:v>39439.799999998184</c:v>
                </c:pt>
                <c:pt idx="189">
                  <c:v>39527.999999998137</c:v>
                </c:pt>
                <c:pt idx="190">
                  <c:v>39616.199999998091</c:v>
                </c:pt>
                <c:pt idx="191">
                  <c:v>39704.399999998044</c:v>
                </c:pt>
                <c:pt idx="192">
                  <c:v>39792.599999997998</c:v>
                </c:pt>
                <c:pt idx="193">
                  <c:v>39880.799999997951</c:v>
                </c:pt>
                <c:pt idx="194">
                  <c:v>39968.999999997905</c:v>
                </c:pt>
                <c:pt idx="195">
                  <c:v>40057.199999997858</c:v>
                </c:pt>
                <c:pt idx="196">
                  <c:v>40145.399999997811</c:v>
                </c:pt>
                <c:pt idx="197">
                  <c:v>40233.599999997765</c:v>
                </c:pt>
              </c:numCache>
            </c:numRef>
          </c:yVal>
          <c:smooth val="1"/>
        </c:ser>
        <c:ser>
          <c:idx val="21"/>
          <c:order val="21"/>
          <c:tx>
            <c:strRef>
              <c:f>'Temp Corr'!$W$84</c:f>
              <c:strCache>
                <c:ptCount val="1"/>
                <c:pt idx="0">
                  <c:v>MXZ-5C42NA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Corr'!$W$85:$W$282</c:f>
              <c:numCache>
                <c:formatCode>0</c:formatCode>
                <c:ptCount val="198"/>
                <c:pt idx="58">
                  <c:v>20561.479999999996</c:v>
                </c:pt>
                <c:pt idx="59">
                  <c:v>20981.839999999997</c:v>
                </c:pt>
                <c:pt idx="60">
                  <c:v>21402.199999999997</c:v>
                </c:pt>
                <c:pt idx="61">
                  <c:v>21822.559999999998</c:v>
                </c:pt>
                <c:pt idx="62">
                  <c:v>22242.92</c:v>
                </c:pt>
                <c:pt idx="63">
                  <c:v>22663.279999999999</c:v>
                </c:pt>
                <c:pt idx="64">
                  <c:v>23083.64</c:v>
                </c:pt>
                <c:pt idx="65" formatCode="General">
                  <c:v>23504</c:v>
                </c:pt>
                <c:pt idx="66">
                  <c:v>23854.3</c:v>
                </c:pt>
                <c:pt idx="67">
                  <c:v>24204.6</c:v>
                </c:pt>
                <c:pt idx="68">
                  <c:v>24554.899999999998</c:v>
                </c:pt>
                <c:pt idx="69">
                  <c:v>24905.199999999997</c:v>
                </c:pt>
                <c:pt idx="70">
                  <c:v>25255.499999999996</c:v>
                </c:pt>
                <c:pt idx="71">
                  <c:v>25605.799999999996</c:v>
                </c:pt>
                <c:pt idx="72">
                  <c:v>25956.099999999995</c:v>
                </c:pt>
                <c:pt idx="73">
                  <c:v>26306.399999999994</c:v>
                </c:pt>
                <c:pt idx="74">
                  <c:v>26656.699999999993</c:v>
                </c:pt>
                <c:pt idx="75">
                  <c:v>27006.999999999993</c:v>
                </c:pt>
                <c:pt idx="76">
                  <c:v>27357.299999999992</c:v>
                </c:pt>
                <c:pt idx="77">
                  <c:v>27707.599999999991</c:v>
                </c:pt>
                <c:pt idx="78">
                  <c:v>28057.899999999991</c:v>
                </c:pt>
                <c:pt idx="79">
                  <c:v>28408.19999999999</c:v>
                </c:pt>
                <c:pt idx="80">
                  <c:v>28758.499999999989</c:v>
                </c:pt>
                <c:pt idx="81">
                  <c:v>29108.799999999988</c:v>
                </c:pt>
                <c:pt idx="82">
                  <c:v>29459.099999999988</c:v>
                </c:pt>
                <c:pt idx="83">
                  <c:v>29809.399999999987</c:v>
                </c:pt>
                <c:pt idx="84">
                  <c:v>30159.699999999986</c:v>
                </c:pt>
                <c:pt idx="85">
                  <c:v>30509.999999999985</c:v>
                </c:pt>
                <c:pt idx="86">
                  <c:v>30860.299999999985</c:v>
                </c:pt>
                <c:pt idx="87">
                  <c:v>31210.599999999984</c:v>
                </c:pt>
                <c:pt idx="88">
                  <c:v>31560.899999999983</c:v>
                </c:pt>
                <c:pt idx="89" formatCode="General">
                  <c:v>31911.199999999997</c:v>
                </c:pt>
                <c:pt idx="90">
                  <c:v>32132.679999999997</c:v>
                </c:pt>
                <c:pt idx="91">
                  <c:v>32354.159999999996</c:v>
                </c:pt>
                <c:pt idx="92">
                  <c:v>32575.639999999996</c:v>
                </c:pt>
                <c:pt idx="93">
                  <c:v>32797.119999999995</c:v>
                </c:pt>
                <c:pt idx="94">
                  <c:v>33018.6</c:v>
                </c:pt>
                <c:pt idx="95">
                  <c:v>33240.080000000002</c:v>
                </c:pt>
                <c:pt idx="96">
                  <c:v>33461.560000000005</c:v>
                </c:pt>
                <c:pt idx="97">
                  <c:v>33683.040000000008</c:v>
                </c:pt>
                <c:pt idx="98">
                  <c:v>33904.520000000011</c:v>
                </c:pt>
                <c:pt idx="99">
                  <c:v>34126.000000000015</c:v>
                </c:pt>
                <c:pt idx="100">
                  <c:v>34347.480000000018</c:v>
                </c:pt>
                <c:pt idx="101">
                  <c:v>34568.960000000021</c:v>
                </c:pt>
                <c:pt idx="102">
                  <c:v>34790.440000000024</c:v>
                </c:pt>
                <c:pt idx="103">
                  <c:v>35011.920000000027</c:v>
                </c:pt>
                <c:pt idx="104">
                  <c:v>35233.400000000031</c:v>
                </c:pt>
                <c:pt idx="105">
                  <c:v>35454.880000000034</c:v>
                </c:pt>
                <c:pt idx="106">
                  <c:v>35676.360000000037</c:v>
                </c:pt>
                <c:pt idx="107">
                  <c:v>35897.84000000004</c:v>
                </c:pt>
                <c:pt idx="108">
                  <c:v>36119.320000000043</c:v>
                </c:pt>
                <c:pt idx="109">
                  <c:v>36340.800000000047</c:v>
                </c:pt>
                <c:pt idx="110">
                  <c:v>36562.28000000005</c:v>
                </c:pt>
                <c:pt idx="111">
                  <c:v>36783.760000000053</c:v>
                </c:pt>
                <c:pt idx="112">
                  <c:v>37005.240000000056</c:v>
                </c:pt>
                <c:pt idx="113">
                  <c:v>37226.720000000059</c:v>
                </c:pt>
                <c:pt idx="114">
                  <c:v>37448.200000000063</c:v>
                </c:pt>
                <c:pt idx="115">
                  <c:v>37669.680000000066</c:v>
                </c:pt>
                <c:pt idx="116">
                  <c:v>37891.160000000069</c:v>
                </c:pt>
                <c:pt idx="117">
                  <c:v>38112.640000000072</c:v>
                </c:pt>
                <c:pt idx="118">
                  <c:v>38334.120000000075</c:v>
                </c:pt>
                <c:pt idx="119">
                  <c:v>38555.600000000079</c:v>
                </c:pt>
                <c:pt idx="120">
                  <c:v>38777.080000000082</c:v>
                </c:pt>
                <c:pt idx="121">
                  <c:v>38998.560000000085</c:v>
                </c:pt>
                <c:pt idx="122">
                  <c:v>39220.040000000088</c:v>
                </c:pt>
                <c:pt idx="123">
                  <c:v>39441.520000000091</c:v>
                </c:pt>
                <c:pt idx="124">
                  <c:v>39663.000000000095</c:v>
                </c:pt>
                <c:pt idx="125">
                  <c:v>39884.480000000098</c:v>
                </c:pt>
                <c:pt idx="126">
                  <c:v>40105.960000000101</c:v>
                </c:pt>
                <c:pt idx="127">
                  <c:v>40327.440000000104</c:v>
                </c:pt>
                <c:pt idx="128">
                  <c:v>40548.920000000107</c:v>
                </c:pt>
                <c:pt idx="129">
                  <c:v>40770.400000000111</c:v>
                </c:pt>
                <c:pt idx="130">
                  <c:v>40991.880000000114</c:v>
                </c:pt>
                <c:pt idx="131">
                  <c:v>41213.360000000117</c:v>
                </c:pt>
                <c:pt idx="132">
                  <c:v>41434.84000000012</c:v>
                </c:pt>
                <c:pt idx="133">
                  <c:v>41656.320000000123</c:v>
                </c:pt>
                <c:pt idx="134">
                  <c:v>41877.800000000127</c:v>
                </c:pt>
                <c:pt idx="135">
                  <c:v>42099.28000000013</c:v>
                </c:pt>
                <c:pt idx="136">
                  <c:v>42320.760000000133</c:v>
                </c:pt>
                <c:pt idx="137">
                  <c:v>42542.240000000136</c:v>
                </c:pt>
                <c:pt idx="138">
                  <c:v>42763.720000000139</c:v>
                </c:pt>
                <c:pt idx="139">
                  <c:v>42985.200000000143</c:v>
                </c:pt>
                <c:pt idx="140">
                  <c:v>43206.680000000146</c:v>
                </c:pt>
                <c:pt idx="141">
                  <c:v>43428.160000000149</c:v>
                </c:pt>
                <c:pt idx="142">
                  <c:v>43649.640000000152</c:v>
                </c:pt>
                <c:pt idx="143">
                  <c:v>43871.120000000155</c:v>
                </c:pt>
                <c:pt idx="144">
                  <c:v>44092.600000000159</c:v>
                </c:pt>
                <c:pt idx="145">
                  <c:v>44314.080000000162</c:v>
                </c:pt>
                <c:pt idx="146">
                  <c:v>44535.560000000165</c:v>
                </c:pt>
                <c:pt idx="147">
                  <c:v>44757.040000000168</c:v>
                </c:pt>
                <c:pt idx="148">
                  <c:v>44978.520000000171</c:v>
                </c:pt>
                <c:pt idx="149" formatCode="General">
                  <c:v>45200</c:v>
                </c:pt>
                <c:pt idx="150">
                  <c:v>45310.739999999918</c:v>
                </c:pt>
                <c:pt idx="151">
                  <c:v>45421.479999999836</c:v>
                </c:pt>
                <c:pt idx="152">
                  <c:v>45532.219999999754</c:v>
                </c:pt>
                <c:pt idx="153">
                  <c:v>45642.959999999672</c:v>
                </c:pt>
                <c:pt idx="154">
                  <c:v>45753.69999999959</c:v>
                </c:pt>
                <c:pt idx="155">
                  <c:v>45864.439999999508</c:v>
                </c:pt>
                <c:pt idx="156">
                  <c:v>45975.179999999425</c:v>
                </c:pt>
                <c:pt idx="157">
                  <c:v>46085.919999999343</c:v>
                </c:pt>
                <c:pt idx="158">
                  <c:v>46196.659999999261</c:v>
                </c:pt>
                <c:pt idx="159">
                  <c:v>46307.399999999179</c:v>
                </c:pt>
                <c:pt idx="160">
                  <c:v>46418.139999999097</c:v>
                </c:pt>
                <c:pt idx="161">
                  <c:v>46528.879999999015</c:v>
                </c:pt>
                <c:pt idx="162">
                  <c:v>46639.619999998933</c:v>
                </c:pt>
                <c:pt idx="163">
                  <c:v>46750.359999998851</c:v>
                </c:pt>
                <c:pt idx="164">
                  <c:v>46861.099999998769</c:v>
                </c:pt>
                <c:pt idx="165">
                  <c:v>46971.839999998687</c:v>
                </c:pt>
                <c:pt idx="166">
                  <c:v>47082.579999998605</c:v>
                </c:pt>
                <c:pt idx="167">
                  <c:v>47193.319999998523</c:v>
                </c:pt>
                <c:pt idx="168">
                  <c:v>47304.059999998441</c:v>
                </c:pt>
                <c:pt idx="169">
                  <c:v>47414.799999998359</c:v>
                </c:pt>
                <c:pt idx="170">
                  <c:v>47525.539999998276</c:v>
                </c:pt>
                <c:pt idx="171">
                  <c:v>47636.279999998194</c:v>
                </c:pt>
                <c:pt idx="172">
                  <c:v>47747.019999998112</c:v>
                </c:pt>
                <c:pt idx="173">
                  <c:v>47857.75999999803</c:v>
                </c:pt>
                <c:pt idx="174">
                  <c:v>47968.499999997948</c:v>
                </c:pt>
                <c:pt idx="175">
                  <c:v>48079.239999997866</c:v>
                </c:pt>
                <c:pt idx="176">
                  <c:v>48189.979999997784</c:v>
                </c:pt>
                <c:pt idx="177">
                  <c:v>48300.719999997702</c:v>
                </c:pt>
                <c:pt idx="178">
                  <c:v>48411.45999999762</c:v>
                </c:pt>
                <c:pt idx="179">
                  <c:v>48522.199999997538</c:v>
                </c:pt>
                <c:pt idx="180">
                  <c:v>48632.939999997456</c:v>
                </c:pt>
                <c:pt idx="181">
                  <c:v>48743.679999997374</c:v>
                </c:pt>
                <c:pt idx="182">
                  <c:v>48854.419999997292</c:v>
                </c:pt>
                <c:pt idx="183">
                  <c:v>48965.15999999721</c:v>
                </c:pt>
                <c:pt idx="184">
                  <c:v>49075.899999997127</c:v>
                </c:pt>
                <c:pt idx="185">
                  <c:v>49186.639999997045</c:v>
                </c:pt>
                <c:pt idx="186">
                  <c:v>49297.379999996963</c:v>
                </c:pt>
                <c:pt idx="187">
                  <c:v>49408.119999996881</c:v>
                </c:pt>
                <c:pt idx="188">
                  <c:v>49518.859999996799</c:v>
                </c:pt>
                <c:pt idx="189">
                  <c:v>49629.599999996717</c:v>
                </c:pt>
                <c:pt idx="190">
                  <c:v>49740.339999996635</c:v>
                </c:pt>
                <c:pt idx="191">
                  <c:v>49851.079999996553</c:v>
                </c:pt>
                <c:pt idx="192">
                  <c:v>49961.819999996471</c:v>
                </c:pt>
                <c:pt idx="193">
                  <c:v>50072.559999996389</c:v>
                </c:pt>
                <c:pt idx="194">
                  <c:v>50183.299999996307</c:v>
                </c:pt>
                <c:pt idx="195">
                  <c:v>50294.039999996225</c:v>
                </c:pt>
                <c:pt idx="196">
                  <c:v>50404.779999996143</c:v>
                </c:pt>
                <c:pt idx="197">
                  <c:v>50515.519999996061</c:v>
                </c:pt>
              </c:numCache>
            </c:numRef>
          </c:yVal>
          <c:smooth val="1"/>
        </c:ser>
        <c:ser>
          <c:idx val="22"/>
          <c:order val="22"/>
          <c:tx>
            <c:strRef>
              <c:f>'Temp Corr'!$X$84</c:f>
              <c:strCache>
                <c:ptCount val="1"/>
                <c:pt idx="0">
                  <c:v>MXZ-8C48NA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Corr'!$X$85:$X$282</c:f>
              <c:numCache>
                <c:formatCode>0</c:formatCode>
                <c:ptCount val="198"/>
                <c:pt idx="19">
                  <c:v>19631.250000000004</c:v>
                </c:pt>
                <c:pt idx="20">
                  <c:v>19861.875000000004</c:v>
                </c:pt>
                <c:pt idx="21">
                  <c:v>20092.500000000004</c:v>
                </c:pt>
                <c:pt idx="22">
                  <c:v>20323.125000000004</c:v>
                </c:pt>
                <c:pt idx="23">
                  <c:v>20553.750000000004</c:v>
                </c:pt>
                <c:pt idx="24">
                  <c:v>20784.375000000004</c:v>
                </c:pt>
                <c:pt idx="25">
                  <c:v>21015.000000000004</c:v>
                </c:pt>
                <c:pt idx="26">
                  <c:v>21245.625000000004</c:v>
                </c:pt>
                <c:pt idx="27">
                  <c:v>21476.250000000004</c:v>
                </c:pt>
                <c:pt idx="28">
                  <c:v>21706.875000000004</c:v>
                </c:pt>
                <c:pt idx="29">
                  <c:v>21937.500000000004</c:v>
                </c:pt>
                <c:pt idx="30">
                  <c:v>22168.125000000004</c:v>
                </c:pt>
                <c:pt idx="31">
                  <c:v>22398.750000000004</c:v>
                </c:pt>
                <c:pt idx="32">
                  <c:v>22629.375000000004</c:v>
                </c:pt>
                <c:pt idx="33">
                  <c:v>22860.000000000004</c:v>
                </c:pt>
                <c:pt idx="34">
                  <c:v>23090.625000000004</c:v>
                </c:pt>
                <c:pt idx="35">
                  <c:v>23321.250000000004</c:v>
                </c:pt>
                <c:pt idx="36">
                  <c:v>23551.875000000004</c:v>
                </c:pt>
                <c:pt idx="37">
                  <c:v>23782.500000000004</c:v>
                </c:pt>
                <c:pt idx="38">
                  <c:v>24013.125000000004</c:v>
                </c:pt>
                <c:pt idx="39">
                  <c:v>24243.750000000004</c:v>
                </c:pt>
                <c:pt idx="40">
                  <c:v>24474.375000000004</c:v>
                </c:pt>
                <c:pt idx="41">
                  <c:v>24705.000000000004</c:v>
                </c:pt>
                <c:pt idx="42">
                  <c:v>24935.625000000004</c:v>
                </c:pt>
                <c:pt idx="43">
                  <c:v>25166.250000000004</c:v>
                </c:pt>
                <c:pt idx="44">
                  <c:v>25396.875000000004</c:v>
                </c:pt>
                <c:pt idx="45">
                  <c:v>25627.500000000004</c:v>
                </c:pt>
                <c:pt idx="46">
                  <c:v>25858.125000000004</c:v>
                </c:pt>
                <c:pt idx="47">
                  <c:v>26088.750000000004</c:v>
                </c:pt>
                <c:pt idx="48">
                  <c:v>26319.375000000004</c:v>
                </c:pt>
                <c:pt idx="49">
                  <c:v>26550.000000000004</c:v>
                </c:pt>
                <c:pt idx="50">
                  <c:v>26780.625000000004</c:v>
                </c:pt>
                <c:pt idx="51">
                  <c:v>27011.250000000004</c:v>
                </c:pt>
                <c:pt idx="52">
                  <c:v>27241.875000000004</c:v>
                </c:pt>
                <c:pt idx="53">
                  <c:v>27472.500000000004</c:v>
                </c:pt>
                <c:pt idx="54">
                  <c:v>27703.125000000004</c:v>
                </c:pt>
                <c:pt idx="55">
                  <c:v>27933.750000000004</c:v>
                </c:pt>
                <c:pt idx="56">
                  <c:v>28164.375000000004</c:v>
                </c:pt>
                <c:pt idx="57">
                  <c:v>28395.000000000004</c:v>
                </c:pt>
                <c:pt idx="58">
                  <c:v>28625.625000000004</c:v>
                </c:pt>
                <c:pt idx="59">
                  <c:v>28856.250000000004</c:v>
                </c:pt>
                <c:pt idx="60">
                  <c:v>29086.875000000004</c:v>
                </c:pt>
                <c:pt idx="61">
                  <c:v>29317.500000000004</c:v>
                </c:pt>
                <c:pt idx="62">
                  <c:v>29548.125000000004</c:v>
                </c:pt>
                <c:pt idx="63">
                  <c:v>29778.750000000004</c:v>
                </c:pt>
                <c:pt idx="64">
                  <c:v>30009.375000000004</c:v>
                </c:pt>
                <c:pt idx="65" formatCode="General">
                  <c:v>30240.000000000004</c:v>
                </c:pt>
                <c:pt idx="66">
                  <c:v>30332.250000000004</c:v>
                </c:pt>
                <c:pt idx="67">
                  <c:v>30424.500000000004</c:v>
                </c:pt>
                <c:pt idx="68">
                  <c:v>30516.750000000004</c:v>
                </c:pt>
                <c:pt idx="69">
                  <c:v>30609.000000000004</c:v>
                </c:pt>
                <c:pt idx="70">
                  <c:v>30701.250000000004</c:v>
                </c:pt>
                <c:pt idx="71">
                  <c:v>30793.500000000004</c:v>
                </c:pt>
                <c:pt idx="72">
                  <c:v>30885.750000000004</c:v>
                </c:pt>
                <c:pt idx="73">
                  <c:v>30978.000000000004</c:v>
                </c:pt>
                <c:pt idx="74">
                  <c:v>31070.250000000004</c:v>
                </c:pt>
                <c:pt idx="75">
                  <c:v>31162.500000000004</c:v>
                </c:pt>
                <c:pt idx="76">
                  <c:v>31254.750000000004</c:v>
                </c:pt>
                <c:pt idx="77">
                  <c:v>31347.000000000004</c:v>
                </c:pt>
                <c:pt idx="78">
                  <c:v>31439.250000000004</c:v>
                </c:pt>
                <c:pt idx="79">
                  <c:v>31531.500000000004</c:v>
                </c:pt>
                <c:pt idx="80">
                  <c:v>31623.750000000004</c:v>
                </c:pt>
                <c:pt idx="81">
                  <c:v>31716.000000000004</c:v>
                </c:pt>
                <c:pt idx="82">
                  <c:v>31808.250000000004</c:v>
                </c:pt>
                <c:pt idx="83">
                  <c:v>31900.500000000004</c:v>
                </c:pt>
                <c:pt idx="84">
                  <c:v>31992.750000000004</c:v>
                </c:pt>
                <c:pt idx="85">
                  <c:v>32085.000000000004</c:v>
                </c:pt>
                <c:pt idx="86">
                  <c:v>32177.250000000004</c:v>
                </c:pt>
                <c:pt idx="87">
                  <c:v>32269.500000000004</c:v>
                </c:pt>
                <c:pt idx="88">
                  <c:v>32361.750000000004</c:v>
                </c:pt>
                <c:pt idx="89" formatCode="General">
                  <c:v>32454</c:v>
                </c:pt>
                <c:pt idx="90">
                  <c:v>32813.1</c:v>
                </c:pt>
                <c:pt idx="91">
                  <c:v>33172.199999999997</c:v>
                </c:pt>
                <c:pt idx="92">
                  <c:v>33531.299999999996</c:v>
                </c:pt>
                <c:pt idx="93">
                  <c:v>33890.399999999994</c:v>
                </c:pt>
                <c:pt idx="94">
                  <c:v>34249.499999999993</c:v>
                </c:pt>
                <c:pt idx="95">
                  <c:v>34608.599999999991</c:v>
                </c:pt>
                <c:pt idx="96">
                  <c:v>34967.69999999999</c:v>
                </c:pt>
                <c:pt idx="97">
                  <c:v>35326.799999999988</c:v>
                </c:pt>
                <c:pt idx="98">
                  <c:v>35685.899999999987</c:v>
                </c:pt>
                <c:pt idx="99">
                  <c:v>36044.999999999985</c:v>
                </c:pt>
                <c:pt idx="100">
                  <c:v>36404.099999999984</c:v>
                </c:pt>
                <c:pt idx="101">
                  <c:v>36763.199999999983</c:v>
                </c:pt>
                <c:pt idx="102">
                  <c:v>37122.299999999981</c:v>
                </c:pt>
                <c:pt idx="103">
                  <c:v>37481.39999999998</c:v>
                </c:pt>
                <c:pt idx="104">
                  <c:v>37840.499999999978</c:v>
                </c:pt>
                <c:pt idx="105">
                  <c:v>38199.599999999977</c:v>
                </c:pt>
                <c:pt idx="106">
                  <c:v>38558.699999999975</c:v>
                </c:pt>
                <c:pt idx="107">
                  <c:v>38917.799999999974</c:v>
                </c:pt>
                <c:pt idx="108">
                  <c:v>39276.899999999972</c:v>
                </c:pt>
                <c:pt idx="109">
                  <c:v>39635.999999999971</c:v>
                </c:pt>
                <c:pt idx="110">
                  <c:v>39995.099999999969</c:v>
                </c:pt>
                <c:pt idx="111">
                  <c:v>40354.199999999968</c:v>
                </c:pt>
                <c:pt idx="112">
                  <c:v>40713.299999999967</c:v>
                </c:pt>
                <c:pt idx="113">
                  <c:v>41072.399999999965</c:v>
                </c:pt>
                <c:pt idx="114">
                  <c:v>41431.499999999964</c:v>
                </c:pt>
                <c:pt idx="115">
                  <c:v>41790.599999999962</c:v>
                </c:pt>
                <c:pt idx="116">
                  <c:v>42149.699999999961</c:v>
                </c:pt>
                <c:pt idx="117">
                  <c:v>42508.799999999959</c:v>
                </c:pt>
                <c:pt idx="118">
                  <c:v>42867.899999999958</c:v>
                </c:pt>
                <c:pt idx="119">
                  <c:v>43226.999999999956</c:v>
                </c:pt>
                <c:pt idx="120">
                  <c:v>43586.099999999955</c:v>
                </c:pt>
                <c:pt idx="121">
                  <c:v>43945.199999999953</c:v>
                </c:pt>
                <c:pt idx="122">
                  <c:v>44304.299999999952</c:v>
                </c:pt>
                <c:pt idx="123">
                  <c:v>44663.399999999951</c:v>
                </c:pt>
                <c:pt idx="124">
                  <c:v>45022.499999999949</c:v>
                </c:pt>
                <c:pt idx="125">
                  <c:v>45381.599999999948</c:v>
                </c:pt>
                <c:pt idx="126">
                  <c:v>45740.699999999946</c:v>
                </c:pt>
                <c:pt idx="127">
                  <c:v>46099.799999999945</c:v>
                </c:pt>
                <c:pt idx="128">
                  <c:v>46458.899999999943</c:v>
                </c:pt>
                <c:pt idx="129">
                  <c:v>46817.999999999942</c:v>
                </c:pt>
                <c:pt idx="130">
                  <c:v>47177.09999999994</c:v>
                </c:pt>
                <c:pt idx="131">
                  <c:v>47536.199999999939</c:v>
                </c:pt>
                <c:pt idx="132">
                  <c:v>47895.299999999937</c:v>
                </c:pt>
                <c:pt idx="133">
                  <c:v>48254.399999999936</c:v>
                </c:pt>
                <c:pt idx="134">
                  <c:v>48613.499999999935</c:v>
                </c:pt>
                <c:pt idx="135">
                  <c:v>48972.599999999933</c:v>
                </c:pt>
                <c:pt idx="136">
                  <c:v>49331.699999999932</c:v>
                </c:pt>
                <c:pt idx="137">
                  <c:v>49690.79999999993</c:v>
                </c:pt>
                <c:pt idx="138">
                  <c:v>50049.899999999929</c:v>
                </c:pt>
                <c:pt idx="139">
                  <c:v>50408.999999999927</c:v>
                </c:pt>
                <c:pt idx="140">
                  <c:v>50768.099999999926</c:v>
                </c:pt>
                <c:pt idx="141">
                  <c:v>51127.199999999924</c:v>
                </c:pt>
                <c:pt idx="142">
                  <c:v>51486.299999999923</c:v>
                </c:pt>
                <c:pt idx="143">
                  <c:v>51845.399999999921</c:v>
                </c:pt>
                <c:pt idx="144">
                  <c:v>52204.49999999992</c:v>
                </c:pt>
                <c:pt idx="145">
                  <c:v>52563.599999999919</c:v>
                </c:pt>
                <c:pt idx="146">
                  <c:v>52922.699999999917</c:v>
                </c:pt>
                <c:pt idx="147">
                  <c:v>53281.799999999916</c:v>
                </c:pt>
                <c:pt idx="148">
                  <c:v>53640.899999999914</c:v>
                </c:pt>
                <c:pt idx="149" formatCode="General">
                  <c:v>54000</c:v>
                </c:pt>
                <c:pt idx="150">
                  <c:v>54179.550000000047</c:v>
                </c:pt>
                <c:pt idx="151">
                  <c:v>54359.100000000093</c:v>
                </c:pt>
                <c:pt idx="152">
                  <c:v>54538.65000000014</c:v>
                </c:pt>
                <c:pt idx="153">
                  <c:v>54718.200000000186</c:v>
                </c:pt>
                <c:pt idx="154">
                  <c:v>54897.750000000233</c:v>
                </c:pt>
                <c:pt idx="155">
                  <c:v>55077.300000000279</c:v>
                </c:pt>
                <c:pt idx="156">
                  <c:v>55256.850000000326</c:v>
                </c:pt>
                <c:pt idx="157">
                  <c:v>55436.400000000373</c:v>
                </c:pt>
                <c:pt idx="158">
                  <c:v>55615.950000000419</c:v>
                </c:pt>
                <c:pt idx="159">
                  <c:v>55795.500000000466</c:v>
                </c:pt>
                <c:pt idx="160">
                  <c:v>55975.050000000512</c:v>
                </c:pt>
                <c:pt idx="161">
                  <c:v>56154.600000000559</c:v>
                </c:pt>
                <c:pt idx="162">
                  <c:v>56334.150000000605</c:v>
                </c:pt>
                <c:pt idx="163">
                  <c:v>56513.700000000652</c:v>
                </c:pt>
                <c:pt idx="164">
                  <c:v>56693.250000000698</c:v>
                </c:pt>
                <c:pt idx="165">
                  <c:v>56872.800000000745</c:v>
                </c:pt>
                <c:pt idx="166">
                  <c:v>57052.350000000792</c:v>
                </c:pt>
                <c:pt idx="167">
                  <c:v>57231.900000000838</c:v>
                </c:pt>
                <c:pt idx="168">
                  <c:v>57411.450000000885</c:v>
                </c:pt>
                <c:pt idx="169">
                  <c:v>57591.000000000931</c:v>
                </c:pt>
                <c:pt idx="170">
                  <c:v>57770.550000000978</c:v>
                </c:pt>
                <c:pt idx="171">
                  <c:v>57950.100000001024</c:v>
                </c:pt>
                <c:pt idx="172">
                  <c:v>58129.650000001071</c:v>
                </c:pt>
                <c:pt idx="173">
                  <c:v>58309.200000001118</c:v>
                </c:pt>
                <c:pt idx="174">
                  <c:v>58488.750000001164</c:v>
                </c:pt>
                <c:pt idx="175">
                  <c:v>58668.300000001211</c:v>
                </c:pt>
                <c:pt idx="176">
                  <c:v>58847.850000001257</c:v>
                </c:pt>
                <c:pt idx="177">
                  <c:v>59027.400000001304</c:v>
                </c:pt>
                <c:pt idx="178">
                  <c:v>59206.95000000135</c:v>
                </c:pt>
                <c:pt idx="179">
                  <c:v>59386.500000001397</c:v>
                </c:pt>
                <c:pt idx="180">
                  <c:v>59566.050000001444</c:v>
                </c:pt>
                <c:pt idx="181">
                  <c:v>59745.60000000149</c:v>
                </c:pt>
                <c:pt idx="182">
                  <c:v>59925.150000001537</c:v>
                </c:pt>
                <c:pt idx="183">
                  <c:v>60104.700000001583</c:v>
                </c:pt>
                <c:pt idx="184">
                  <c:v>60284.25000000163</c:v>
                </c:pt>
                <c:pt idx="185">
                  <c:v>60463.800000001676</c:v>
                </c:pt>
                <c:pt idx="186">
                  <c:v>60643.350000001723</c:v>
                </c:pt>
                <c:pt idx="187">
                  <c:v>60822.90000000177</c:v>
                </c:pt>
                <c:pt idx="188">
                  <c:v>61002.450000001816</c:v>
                </c:pt>
                <c:pt idx="189">
                  <c:v>61182.000000001863</c:v>
                </c:pt>
                <c:pt idx="190">
                  <c:v>61361.550000001909</c:v>
                </c:pt>
                <c:pt idx="191">
                  <c:v>61541.100000001956</c:v>
                </c:pt>
                <c:pt idx="192">
                  <c:v>61720.650000002002</c:v>
                </c:pt>
                <c:pt idx="193">
                  <c:v>61900.200000002049</c:v>
                </c:pt>
                <c:pt idx="194">
                  <c:v>62079.750000002095</c:v>
                </c:pt>
                <c:pt idx="195">
                  <c:v>62259.300000002142</c:v>
                </c:pt>
                <c:pt idx="196">
                  <c:v>62438.850000002189</c:v>
                </c:pt>
                <c:pt idx="197">
                  <c:v>62618.400000002235</c:v>
                </c:pt>
              </c:numCache>
            </c:numRef>
          </c:yVal>
          <c:smooth val="1"/>
        </c:ser>
        <c:ser>
          <c:idx val="23"/>
          <c:order val="23"/>
          <c:tx>
            <c:strRef>
              <c:f>'Temp Corr'!$Y$84</c:f>
              <c:strCache>
                <c:ptCount val="1"/>
                <c:pt idx="0">
                  <c:v>Multiple-Non H2i</c:v>
                </c:pt>
              </c:strCache>
            </c:strRef>
          </c:tx>
          <c:marker>
            <c:symbol val="none"/>
          </c:marker>
          <c:xVal>
            <c:numRef>
              <c:f>'Temp Corr'!$A$85:$A$282</c:f>
              <c:numCache>
                <c:formatCode>General</c:formatCode>
                <c:ptCount val="198"/>
                <c:pt idx="0">
                  <c:v>-27.5</c:v>
                </c:pt>
                <c:pt idx="1">
                  <c:v>-27</c:v>
                </c:pt>
                <c:pt idx="2">
                  <c:v>-26.5</c:v>
                </c:pt>
                <c:pt idx="3">
                  <c:v>-26</c:v>
                </c:pt>
                <c:pt idx="4">
                  <c:v>-25.5</c:v>
                </c:pt>
                <c:pt idx="5">
                  <c:v>-25</c:v>
                </c:pt>
                <c:pt idx="6">
                  <c:v>-24.5</c:v>
                </c:pt>
                <c:pt idx="7">
                  <c:v>-24</c:v>
                </c:pt>
                <c:pt idx="8">
                  <c:v>-23.5</c:v>
                </c:pt>
                <c:pt idx="9">
                  <c:v>-23</c:v>
                </c:pt>
                <c:pt idx="10">
                  <c:v>-22.5</c:v>
                </c:pt>
                <c:pt idx="11">
                  <c:v>-22</c:v>
                </c:pt>
                <c:pt idx="12">
                  <c:v>-21.5</c:v>
                </c:pt>
                <c:pt idx="13">
                  <c:v>-21</c:v>
                </c:pt>
                <c:pt idx="14">
                  <c:v>-20.5</c:v>
                </c:pt>
                <c:pt idx="15">
                  <c:v>-20</c:v>
                </c:pt>
                <c:pt idx="16">
                  <c:v>-19.5</c:v>
                </c:pt>
                <c:pt idx="17">
                  <c:v>-19</c:v>
                </c:pt>
                <c:pt idx="18">
                  <c:v>-18.5</c:v>
                </c:pt>
                <c:pt idx="19">
                  <c:v>-18</c:v>
                </c:pt>
                <c:pt idx="20">
                  <c:v>-17.5</c:v>
                </c:pt>
                <c:pt idx="21">
                  <c:v>-17</c:v>
                </c:pt>
                <c:pt idx="22">
                  <c:v>-16.5</c:v>
                </c:pt>
                <c:pt idx="23">
                  <c:v>-16</c:v>
                </c:pt>
                <c:pt idx="24">
                  <c:v>-15.5</c:v>
                </c:pt>
                <c:pt idx="25">
                  <c:v>-15</c:v>
                </c:pt>
                <c:pt idx="26">
                  <c:v>-14.5</c:v>
                </c:pt>
                <c:pt idx="27">
                  <c:v>-14</c:v>
                </c:pt>
                <c:pt idx="28">
                  <c:v>-13.5</c:v>
                </c:pt>
                <c:pt idx="29">
                  <c:v>-13</c:v>
                </c:pt>
                <c:pt idx="30">
                  <c:v>-12.5</c:v>
                </c:pt>
                <c:pt idx="31">
                  <c:v>-12</c:v>
                </c:pt>
                <c:pt idx="32">
                  <c:v>-11.5</c:v>
                </c:pt>
                <c:pt idx="33">
                  <c:v>-11</c:v>
                </c:pt>
                <c:pt idx="34">
                  <c:v>-10.5</c:v>
                </c:pt>
                <c:pt idx="35">
                  <c:v>-10</c:v>
                </c:pt>
                <c:pt idx="36">
                  <c:v>-9.5</c:v>
                </c:pt>
                <c:pt idx="37">
                  <c:v>-9</c:v>
                </c:pt>
                <c:pt idx="38">
                  <c:v>-8.5</c:v>
                </c:pt>
                <c:pt idx="39">
                  <c:v>-8</c:v>
                </c:pt>
                <c:pt idx="40">
                  <c:v>-7.5</c:v>
                </c:pt>
                <c:pt idx="41">
                  <c:v>-7</c:v>
                </c:pt>
                <c:pt idx="42">
                  <c:v>-6.5</c:v>
                </c:pt>
                <c:pt idx="43">
                  <c:v>-6</c:v>
                </c:pt>
                <c:pt idx="44">
                  <c:v>-5.5</c:v>
                </c:pt>
                <c:pt idx="45">
                  <c:v>-5</c:v>
                </c:pt>
                <c:pt idx="46">
                  <c:v>-4.5</c:v>
                </c:pt>
                <c:pt idx="47">
                  <c:v>-4</c:v>
                </c:pt>
                <c:pt idx="48">
                  <c:v>-3.5</c:v>
                </c:pt>
                <c:pt idx="49">
                  <c:v>-3</c:v>
                </c:pt>
                <c:pt idx="50">
                  <c:v>-2.5</c:v>
                </c:pt>
                <c:pt idx="51">
                  <c:v>-2</c:v>
                </c:pt>
                <c:pt idx="52">
                  <c:v>-1.5</c:v>
                </c:pt>
                <c:pt idx="53">
                  <c:v>-1</c:v>
                </c:pt>
                <c:pt idx="54">
                  <c:v>-0.5</c:v>
                </c:pt>
                <c:pt idx="55">
                  <c:v>0</c:v>
                </c:pt>
                <c:pt idx="56">
                  <c:v>0.5</c:v>
                </c:pt>
                <c:pt idx="57">
                  <c:v>1</c:v>
                </c:pt>
                <c:pt idx="58">
                  <c:v>1.5</c:v>
                </c:pt>
                <c:pt idx="59">
                  <c:v>2</c:v>
                </c:pt>
                <c:pt idx="60">
                  <c:v>2.5</c:v>
                </c:pt>
                <c:pt idx="61">
                  <c:v>3</c:v>
                </c:pt>
                <c:pt idx="62">
                  <c:v>3.5</c:v>
                </c:pt>
                <c:pt idx="63">
                  <c:v>4</c:v>
                </c:pt>
                <c:pt idx="64">
                  <c:v>4.5</c:v>
                </c:pt>
                <c:pt idx="65">
                  <c:v>5</c:v>
                </c:pt>
                <c:pt idx="66">
                  <c:v>5.5</c:v>
                </c:pt>
                <c:pt idx="67">
                  <c:v>6</c:v>
                </c:pt>
                <c:pt idx="68">
                  <c:v>6.5</c:v>
                </c:pt>
                <c:pt idx="69">
                  <c:v>7</c:v>
                </c:pt>
                <c:pt idx="70">
                  <c:v>7.5</c:v>
                </c:pt>
                <c:pt idx="71">
                  <c:v>8</c:v>
                </c:pt>
                <c:pt idx="72">
                  <c:v>8.5</c:v>
                </c:pt>
                <c:pt idx="73">
                  <c:v>9</c:v>
                </c:pt>
                <c:pt idx="74">
                  <c:v>9.5</c:v>
                </c:pt>
                <c:pt idx="75">
                  <c:v>10</c:v>
                </c:pt>
                <c:pt idx="76">
                  <c:v>10.5</c:v>
                </c:pt>
                <c:pt idx="77">
                  <c:v>11</c:v>
                </c:pt>
                <c:pt idx="78">
                  <c:v>11.5</c:v>
                </c:pt>
                <c:pt idx="79">
                  <c:v>12</c:v>
                </c:pt>
                <c:pt idx="80">
                  <c:v>12.5</c:v>
                </c:pt>
                <c:pt idx="81">
                  <c:v>13</c:v>
                </c:pt>
                <c:pt idx="82">
                  <c:v>13.5</c:v>
                </c:pt>
                <c:pt idx="83">
                  <c:v>14</c:v>
                </c:pt>
                <c:pt idx="84">
                  <c:v>14.5</c:v>
                </c:pt>
                <c:pt idx="85">
                  <c:v>15</c:v>
                </c:pt>
                <c:pt idx="86">
                  <c:v>15.5</c:v>
                </c:pt>
                <c:pt idx="87">
                  <c:v>16</c:v>
                </c:pt>
                <c:pt idx="88">
                  <c:v>16.5</c:v>
                </c:pt>
                <c:pt idx="89">
                  <c:v>17</c:v>
                </c:pt>
                <c:pt idx="90">
                  <c:v>17.5</c:v>
                </c:pt>
                <c:pt idx="91">
                  <c:v>18</c:v>
                </c:pt>
                <c:pt idx="92">
                  <c:v>18.5</c:v>
                </c:pt>
                <c:pt idx="93">
                  <c:v>19</c:v>
                </c:pt>
                <c:pt idx="94">
                  <c:v>19.5</c:v>
                </c:pt>
                <c:pt idx="95">
                  <c:v>20</c:v>
                </c:pt>
                <c:pt idx="96">
                  <c:v>20.5</c:v>
                </c:pt>
                <c:pt idx="97">
                  <c:v>21</c:v>
                </c:pt>
                <c:pt idx="98">
                  <c:v>21.5</c:v>
                </c:pt>
                <c:pt idx="99">
                  <c:v>22</c:v>
                </c:pt>
                <c:pt idx="100">
                  <c:v>22.5</c:v>
                </c:pt>
                <c:pt idx="101">
                  <c:v>23</c:v>
                </c:pt>
                <c:pt idx="102">
                  <c:v>23.5</c:v>
                </c:pt>
                <c:pt idx="103">
                  <c:v>24</c:v>
                </c:pt>
                <c:pt idx="104">
                  <c:v>24.5</c:v>
                </c:pt>
                <c:pt idx="105">
                  <c:v>25</c:v>
                </c:pt>
                <c:pt idx="106">
                  <c:v>25.5</c:v>
                </c:pt>
                <c:pt idx="107">
                  <c:v>26</c:v>
                </c:pt>
                <c:pt idx="108">
                  <c:v>26.5</c:v>
                </c:pt>
                <c:pt idx="109">
                  <c:v>27</c:v>
                </c:pt>
                <c:pt idx="110">
                  <c:v>27.5</c:v>
                </c:pt>
                <c:pt idx="111">
                  <c:v>28</c:v>
                </c:pt>
                <c:pt idx="112">
                  <c:v>28.5</c:v>
                </c:pt>
                <c:pt idx="113">
                  <c:v>29</c:v>
                </c:pt>
                <c:pt idx="114">
                  <c:v>29.5</c:v>
                </c:pt>
                <c:pt idx="115">
                  <c:v>30</c:v>
                </c:pt>
                <c:pt idx="116">
                  <c:v>30.5</c:v>
                </c:pt>
                <c:pt idx="117">
                  <c:v>31</c:v>
                </c:pt>
                <c:pt idx="118">
                  <c:v>31.5</c:v>
                </c:pt>
                <c:pt idx="119">
                  <c:v>32</c:v>
                </c:pt>
                <c:pt idx="120">
                  <c:v>32.5</c:v>
                </c:pt>
                <c:pt idx="121">
                  <c:v>33</c:v>
                </c:pt>
                <c:pt idx="122">
                  <c:v>33.5</c:v>
                </c:pt>
                <c:pt idx="123">
                  <c:v>34</c:v>
                </c:pt>
                <c:pt idx="124">
                  <c:v>34.5</c:v>
                </c:pt>
                <c:pt idx="125">
                  <c:v>35</c:v>
                </c:pt>
                <c:pt idx="126">
                  <c:v>35.5</c:v>
                </c:pt>
                <c:pt idx="127">
                  <c:v>36</c:v>
                </c:pt>
                <c:pt idx="128">
                  <c:v>36.5</c:v>
                </c:pt>
                <c:pt idx="129">
                  <c:v>37</c:v>
                </c:pt>
                <c:pt idx="130">
                  <c:v>37.5</c:v>
                </c:pt>
                <c:pt idx="131">
                  <c:v>38</c:v>
                </c:pt>
                <c:pt idx="132">
                  <c:v>38.5</c:v>
                </c:pt>
                <c:pt idx="133">
                  <c:v>39</c:v>
                </c:pt>
                <c:pt idx="134">
                  <c:v>39.5</c:v>
                </c:pt>
                <c:pt idx="135">
                  <c:v>40</c:v>
                </c:pt>
                <c:pt idx="136">
                  <c:v>40.5</c:v>
                </c:pt>
                <c:pt idx="137">
                  <c:v>41</c:v>
                </c:pt>
                <c:pt idx="138">
                  <c:v>41.5</c:v>
                </c:pt>
                <c:pt idx="139">
                  <c:v>42</c:v>
                </c:pt>
                <c:pt idx="140">
                  <c:v>42.5</c:v>
                </c:pt>
                <c:pt idx="141">
                  <c:v>43</c:v>
                </c:pt>
                <c:pt idx="142">
                  <c:v>43.5</c:v>
                </c:pt>
                <c:pt idx="143">
                  <c:v>44</c:v>
                </c:pt>
                <c:pt idx="144">
                  <c:v>44.5</c:v>
                </c:pt>
                <c:pt idx="145">
                  <c:v>45</c:v>
                </c:pt>
                <c:pt idx="146">
                  <c:v>45.5</c:v>
                </c:pt>
                <c:pt idx="147">
                  <c:v>46</c:v>
                </c:pt>
                <c:pt idx="148">
                  <c:v>46.5</c:v>
                </c:pt>
                <c:pt idx="149">
                  <c:v>47</c:v>
                </c:pt>
                <c:pt idx="150">
                  <c:v>47.5</c:v>
                </c:pt>
                <c:pt idx="151">
                  <c:v>48</c:v>
                </c:pt>
                <c:pt idx="152">
                  <c:v>48.5</c:v>
                </c:pt>
                <c:pt idx="153">
                  <c:v>49</c:v>
                </c:pt>
                <c:pt idx="154">
                  <c:v>49.5</c:v>
                </c:pt>
                <c:pt idx="155">
                  <c:v>50</c:v>
                </c:pt>
                <c:pt idx="156">
                  <c:v>50.5</c:v>
                </c:pt>
                <c:pt idx="157">
                  <c:v>51</c:v>
                </c:pt>
                <c:pt idx="158">
                  <c:v>51.5</c:v>
                </c:pt>
                <c:pt idx="159">
                  <c:v>52</c:v>
                </c:pt>
                <c:pt idx="160">
                  <c:v>52.5</c:v>
                </c:pt>
                <c:pt idx="161">
                  <c:v>53</c:v>
                </c:pt>
                <c:pt idx="162">
                  <c:v>53.5</c:v>
                </c:pt>
                <c:pt idx="163">
                  <c:v>54</c:v>
                </c:pt>
                <c:pt idx="164">
                  <c:v>54.5</c:v>
                </c:pt>
                <c:pt idx="165">
                  <c:v>55</c:v>
                </c:pt>
                <c:pt idx="166">
                  <c:v>55.5</c:v>
                </c:pt>
                <c:pt idx="167">
                  <c:v>56</c:v>
                </c:pt>
                <c:pt idx="168">
                  <c:v>56.5</c:v>
                </c:pt>
                <c:pt idx="169">
                  <c:v>57</c:v>
                </c:pt>
                <c:pt idx="170">
                  <c:v>57.5</c:v>
                </c:pt>
                <c:pt idx="171">
                  <c:v>58</c:v>
                </c:pt>
                <c:pt idx="172">
                  <c:v>58.5</c:v>
                </c:pt>
                <c:pt idx="173">
                  <c:v>59</c:v>
                </c:pt>
                <c:pt idx="174">
                  <c:v>59.5</c:v>
                </c:pt>
                <c:pt idx="175">
                  <c:v>60</c:v>
                </c:pt>
                <c:pt idx="176">
                  <c:v>60.5</c:v>
                </c:pt>
                <c:pt idx="177">
                  <c:v>61</c:v>
                </c:pt>
                <c:pt idx="178">
                  <c:v>61.5</c:v>
                </c:pt>
                <c:pt idx="179">
                  <c:v>62</c:v>
                </c:pt>
                <c:pt idx="180">
                  <c:v>62.5</c:v>
                </c:pt>
                <c:pt idx="181">
                  <c:v>63</c:v>
                </c:pt>
                <c:pt idx="182">
                  <c:v>63.5</c:v>
                </c:pt>
                <c:pt idx="183">
                  <c:v>64</c:v>
                </c:pt>
                <c:pt idx="184">
                  <c:v>64.5</c:v>
                </c:pt>
                <c:pt idx="185">
                  <c:v>65</c:v>
                </c:pt>
                <c:pt idx="186">
                  <c:v>65.5</c:v>
                </c:pt>
                <c:pt idx="187">
                  <c:v>66</c:v>
                </c:pt>
                <c:pt idx="188">
                  <c:v>66.5</c:v>
                </c:pt>
                <c:pt idx="189">
                  <c:v>67</c:v>
                </c:pt>
                <c:pt idx="190">
                  <c:v>67.5</c:v>
                </c:pt>
                <c:pt idx="191">
                  <c:v>68</c:v>
                </c:pt>
                <c:pt idx="192">
                  <c:v>68.5</c:v>
                </c:pt>
                <c:pt idx="193">
                  <c:v>69</c:v>
                </c:pt>
                <c:pt idx="194">
                  <c:v>69.5</c:v>
                </c:pt>
                <c:pt idx="195">
                  <c:v>70</c:v>
                </c:pt>
                <c:pt idx="196">
                  <c:v>70.5</c:v>
                </c:pt>
                <c:pt idx="197">
                  <c:v>71</c:v>
                </c:pt>
              </c:numCache>
            </c:numRef>
          </c:xVal>
          <c:yVal>
            <c:numRef>
              <c:f>'Temp Corr'!$Y$85:$Y$282</c:f>
              <c:numCache>
                <c:formatCode>0</c:formatCode>
                <c:ptCount val="198"/>
                <c:pt idx="37">
                  <c:v>17607.999999999898</c:v>
                </c:pt>
                <c:pt idx="38">
                  <c:v>18136.999999999902</c:v>
                </c:pt>
                <c:pt idx="39">
                  <c:v>18665.999999999905</c:v>
                </c:pt>
                <c:pt idx="40">
                  <c:v>19194.999999999909</c:v>
                </c:pt>
                <c:pt idx="41">
                  <c:v>19723.999999999913</c:v>
                </c:pt>
                <c:pt idx="42">
                  <c:v>20252.999999999916</c:v>
                </c:pt>
                <c:pt idx="43">
                  <c:v>20781.99999999992</c:v>
                </c:pt>
                <c:pt idx="44">
                  <c:v>21310.999999999924</c:v>
                </c:pt>
                <c:pt idx="45">
                  <c:v>21839.999999999927</c:v>
                </c:pt>
                <c:pt idx="46">
                  <c:v>22368.999999999931</c:v>
                </c:pt>
                <c:pt idx="47">
                  <c:v>22897.999999999935</c:v>
                </c:pt>
                <c:pt idx="48">
                  <c:v>23426.999999999938</c:v>
                </c:pt>
                <c:pt idx="49">
                  <c:v>23955.999999999942</c:v>
                </c:pt>
                <c:pt idx="50">
                  <c:v>24484.999999999945</c:v>
                </c:pt>
                <c:pt idx="51">
                  <c:v>25013.999999999949</c:v>
                </c:pt>
                <c:pt idx="52">
                  <c:v>25542.999999999953</c:v>
                </c:pt>
                <c:pt idx="53">
                  <c:v>26071.999999999956</c:v>
                </c:pt>
                <c:pt idx="54">
                  <c:v>26600.99999999996</c:v>
                </c:pt>
                <c:pt idx="55">
                  <c:v>27129.999999999964</c:v>
                </c:pt>
                <c:pt idx="56">
                  <c:v>27658.999999999967</c:v>
                </c:pt>
                <c:pt idx="57">
                  <c:v>28187.999999999971</c:v>
                </c:pt>
                <c:pt idx="58">
                  <c:v>28716.999999999975</c:v>
                </c:pt>
                <c:pt idx="59">
                  <c:v>29245.999999999978</c:v>
                </c:pt>
                <c:pt idx="60">
                  <c:v>29774.999999999982</c:v>
                </c:pt>
                <c:pt idx="61">
                  <c:v>30303.999999999985</c:v>
                </c:pt>
                <c:pt idx="62">
                  <c:v>30832.999999999989</c:v>
                </c:pt>
                <c:pt idx="63">
                  <c:v>31361.999999999993</c:v>
                </c:pt>
                <c:pt idx="64">
                  <c:v>31890.999999999996</c:v>
                </c:pt>
                <c:pt idx="65" formatCode="General">
                  <c:v>32420</c:v>
                </c:pt>
                <c:pt idx="66">
                  <c:v>32860.833333333336</c:v>
                </c:pt>
                <c:pt idx="67">
                  <c:v>33301.666666666672</c:v>
                </c:pt>
                <c:pt idx="68">
                  <c:v>33742.500000000007</c:v>
                </c:pt>
                <c:pt idx="69">
                  <c:v>34183.333333333343</c:v>
                </c:pt>
                <c:pt idx="70">
                  <c:v>34624.166666666679</c:v>
                </c:pt>
                <c:pt idx="71">
                  <c:v>35065.000000000015</c:v>
                </c:pt>
                <c:pt idx="72">
                  <c:v>35505.83333333335</c:v>
                </c:pt>
                <c:pt idx="73">
                  <c:v>35946.666666666686</c:v>
                </c:pt>
                <c:pt idx="74">
                  <c:v>36387.500000000022</c:v>
                </c:pt>
                <c:pt idx="75">
                  <c:v>36828.333333333358</c:v>
                </c:pt>
                <c:pt idx="76">
                  <c:v>37269.166666666693</c:v>
                </c:pt>
                <c:pt idx="77">
                  <c:v>37710.000000000029</c:v>
                </c:pt>
                <c:pt idx="78">
                  <c:v>38150.833333333365</c:v>
                </c:pt>
                <c:pt idx="79">
                  <c:v>38591.666666666701</c:v>
                </c:pt>
                <c:pt idx="80">
                  <c:v>39032.500000000036</c:v>
                </c:pt>
                <c:pt idx="81">
                  <c:v>39473.333333333372</c:v>
                </c:pt>
                <c:pt idx="82">
                  <c:v>39914.166666666708</c:v>
                </c:pt>
                <c:pt idx="83">
                  <c:v>40355.000000000044</c:v>
                </c:pt>
                <c:pt idx="84">
                  <c:v>40795.833333333379</c:v>
                </c:pt>
                <c:pt idx="85">
                  <c:v>41236.666666666715</c:v>
                </c:pt>
                <c:pt idx="86">
                  <c:v>41677.500000000051</c:v>
                </c:pt>
                <c:pt idx="87">
                  <c:v>42118.333333333387</c:v>
                </c:pt>
                <c:pt idx="88">
                  <c:v>42559.166666666722</c:v>
                </c:pt>
                <c:pt idx="89" formatCode="General">
                  <c:v>43000</c:v>
                </c:pt>
                <c:pt idx="90">
                  <c:v>43183.333333333336</c:v>
                </c:pt>
                <c:pt idx="91">
                  <c:v>43366.666666666672</c:v>
                </c:pt>
                <c:pt idx="92">
                  <c:v>43550.000000000007</c:v>
                </c:pt>
                <c:pt idx="93">
                  <c:v>43733.333333333343</c:v>
                </c:pt>
                <c:pt idx="94">
                  <c:v>43916.666666666679</c:v>
                </c:pt>
                <c:pt idx="95">
                  <c:v>44100.000000000015</c:v>
                </c:pt>
                <c:pt idx="96">
                  <c:v>44283.33333333335</c:v>
                </c:pt>
                <c:pt idx="97">
                  <c:v>44466.666666666686</c:v>
                </c:pt>
                <c:pt idx="98">
                  <c:v>44650.000000000022</c:v>
                </c:pt>
                <c:pt idx="99">
                  <c:v>44833.333333333358</c:v>
                </c:pt>
                <c:pt idx="100">
                  <c:v>45016.666666666693</c:v>
                </c:pt>
                <c:pt idx="101">
                  <c:v>45200.000000000029</c:v>
                </c:pt>
                <c:pt idx="102">
                  <c:v>45383.333333333365</c:v>
                </c:pt>
                <c:pt idx="103">
                  <c:v>45566.666666666701</c:v>
                </c:pt>
                <c:pt idx="104">
                  <c:v>45750.000000000036</c:v>
                </c:pt>
                <c:pt idx="105">
                  <c:v>45933.333333333372</c:v>
                </c:pt>
                <c:pt idx="106">
                  <c:v>46116.666666666708</c:v>
                </c:pt>
                <c:pt idx="107">
                  <c:v>46300.000000000044</c:v>
                </c:pt>
                <c:pt idx="108">
                  <c:v>46483.333333333379</c:v>
                </c:pt>
                <c:pt idx="109">
                  <c:v>46666.666666666715</c:v>
                </c:pt>
                <c:pt idx="110">
                  <c:v>46850.000000000051</c:v>
                </c:pt>
                <c:pt idx="111">
                  <c:v>47033.333333333387</c:v>
                </c:pt>
                <c:pt idx="112">
                  <c:v>47216.666666666722</c:v>
                </c:pt>
                <c:pt idx="113">
                  <c:v>47400.000000000058</c:v>
                </c:pt>
                <c:pt idx="114">
                  <c:v>47583.333333333394</c:v>
                </c:pt>
                <c:pt idx="115">
                  <c:v>47766.66666666673</c:v>
                </c:pt>
                <c:pt idx="116">
                  <c:v>47950.000000000065</c:v>
                </c:pt>
                <c:pt idx="117">
                  <c:v>48133.333333333401</c:v>
                </c:pt>
                <c:pt idx="118">
                  <c:v>48316.666666666737</c:v>
                </c:pt>
                <c:pt idx="119">
                  <c:v>48500.000000000073</c:v>
                </c:pt>
                <c:pt idx="120">
                  <c:v>48683.333333333409</c:v>
                </c:pt>
                <c:pt idx="121">
                  <c:v>48866.666666666744</c:v>
                </c:pt>
                <c:pt idx="122">
                  <c:v>49050.00000000008</c:v>
                </c:pt>
                <c:pt idx="123">
                  <c:v>49233.333333333416</c:v>
                </c:pt>
                <c:pt idx="124">
                  <c:v>49416.666666666752</c:v>
                </c:pt>
                <c:pt idx="125">
                  <c:v>49600.000000000087</c:v>
                </c:pt>
                <c:pt idx="126">
                  <c:v>49783.333333333423</c:v>
                </c:pt>
                <c:pt idx="127">
                  <c:v>49966.666666666759</c:v>
                </c:pt>
                <c:pt idx="128">
                  <c:v>50150.000000000095</c:v>
                </c:pt>
                <c:pt idx="129">
                  <c:v>50333.33333333343</c:v>
                </c:pt>
                <c:pt idx="130">
                  <c:v>50516.666666666766</c:v>
                </c:pt>
                <c:pt idx="131">
                  <c:v>50700.000000000102</c:v>
                </c:pt>
                <c:pt idx="132">
                  <c:v>50883.333333333438</c:v>
                </c:pt>
                <c:pt idx="133">
                  <c:v>51066.666666666773</c:v>
                </c:pt>
                <c:pt idx="134">
                  <c:v>51250.000000000109</c:v>
                </c:pt>
                <c:pt idx="135">
                  <c:v>51433.333333333445</c:v>
                </c:pt>
                <c:pt idx="136">
                  <c:v>51616.666666666781</c:v>
                </c:pt>
                <c:pt idx="137">
                  <c:v>51800.000000000116</c:v>
                </c:pt>
                <c:pt idx="138">
                  <c:v>51983.333333333452</c:v>
                </c:pt>
                <c:pt idx="139">
                  <c:v>52166.666666666788</c:v>
                </c:pt>
                <c:pt idx="140">
                  <c:v>52350.000000000124</c:v>
                </c:pt>
                <c:pt idx="141">
                  <c:v>52533.333333333459</c:v>
                </c:pt>
                <c:pt idx="142">
                  <c:v>52716.666666666795</c:v>
                </c:pt>
                <c:pt idx="143">
                  <c:v>52900.000000000131</c:v>
                </c:pt>
                <c:pt idx="144">
                  <c:v>53083.333333333467</c:v>
                </c:pt>
                <c:pt idx="145">
                  <c:v>53266.666666666802</c:v>
                </c:pt>
                <c:pt idx="146">
                  <c:v>53450.000000000138</c:v>
                </c:pt>
                <c:pt idx="147">
                  <c:v>53633.333333333474</c:v>
                </c:pt>
                <c:pt idx="148">
                  <c:v>53816.66666666681</c:v>
                </c:pt>
                <c:pt idx="149" formatCode="General">
                  <c:v>54000</c:v>
                </c:pt>
                <c:pt idx="150">
                  <c:v>54091.666666666599</c:v>
                </c:pt>
                <c:pt idx="151">
                  <c:v>54183.333333333198</c:v>
                </c:pt>
                <c:pt idx="152">
                  <c:v>54274.999999999796</c:v>
                </c:pt>
                <c:pt idx="153">
                  <c:v>54366.666666666395</c:v>
                </c:pt>
                <c:pt idx="154">
                  <c:v>54458.333333332994</c:v>
                </c:pt>
                <c:pt idx="155">
                  <c:v>54549.999999999593</c:v>
                </c:pt>
                <c:pt idx="156">
                  <c:v>54641.666666666191</c:v>
                </c:pt>
                <c:pt idx="157">
                  <c:v>54733.33333333279</c:v>
                </c:pt>
                <c:pt idx="158">
                  <c:v>54824.999999999389</c:v>
                </c:pt>
                <c:pt idx="159">
                  <c:v>54916.666666665988</c:v>
                </c:pt>
                <c:pt idx="160">
                  <c:v>55008.333333332586</c:v>
                </c:pt>
                <c:pt idx="161">
                  <c:v>55099.999999999185</c:v>
                </c:pt>
                <c:pt idx="162">
                  <c:v>55191.666666665784</c:v>
                </c:pt>
                <c:pt idx="163">
                  <c:v>55283.333333332383</c:v>
                </c:pt>
                <c:pt idx="164">
                  <c:v>55374.999999998981</c:v>
                </c:pt>
                <c:pt idx="165">
                  <c:v>55466.66666666558</c:v>
                </c:pt>
                <c:pt idx="166">
                  <c:v>55558.333333332179</c:v>
                </c:pt>
                <c:pt idx="167">
                  <c:v>55649.999999998778</c:v>
                </c:pt>
                <c:pt idx="168">
                  <c:v>55741.666666665376</c:v>
                </c:pt>
                <c:pt idx="169">
                  <c:v>55833.333333331975</c:v>
                </c:pt>
                <c:pt idx="170">
                  <c:v>55924.999999998574</c:v>
                </c:pt>
                <c:pt idx="171">
                  <c:v>56016.666666665173</c:v>
                </c:pt>
                <c:pt idx="172">
                  <c:v>56108.333333331771</c:v>
                </c:pt>
                <c:pt idx="173">
                  <c:v>56199.99999999837</c:v>
                </c:pt>
                <c:pt idx="174">
                  <c:v>56291.666666664969</c:v>
                </c:pt>
                <c:pt idx="175">
                  <c:v>56383.333333331568</c:v>
                </c:pt>
                <c:pt idx="176">
                  <c:v>56474.999999998166</c:v>
                </c:pt>
                <c:pt idx="177">
                  <c:v>56566.666666664765</c:v>
                </c:pt>
                <c:pt idx="178">
                  <c:v>56658.333333331364</c:v>
                </c:pt>
                <c:pt idx="179">
                  <c:v>56749.999999997963</c:v>
                </c:pt>
                <c:pt idx="180">
                  <c:v>56841.666666664561</c:v>
                </c:pt>
                <c:pt idx="181">
                  <c:v>56933.33333333116</c:v>
                </c:pt>
                <c:pt idx="182">
                  <c:v>57024.999999997759</c:v>
                </c:pt>
                <c:pt idx="183">
                  <c:v>57116.666666664358</c:v>
                </c:pt>
                <c:pt idx="184">
                  <c:v>57208.333333330957</c:v>
                </c:pt>
                <c:pt idx="185">
                  <c:v>57299.999999997555</c:v>
                </c:pt>
                <c:pt idx="186">
                  <c:v>57391.666666664154</c:v>
                </c:pt>
                <c:pt idx="187">
                  <c:v>57483.333333330753</c:v>
                </c:pt>
                <c:pt idx="188">
                  <c:v>57574.999999997352</c:v>
                </c:pt>
                <c:pt idx="189">
                  <c:v>57666.66666666395</c:v>
                </c:pt>
                <c:pt idx="190">
                  <c:v>57758.333333330549</c:v>
                </c:pt>
                <c:pt idx="191">
                  <c:v>57849.999999997148</c:v>
                </c:pt>
                <c:pt idx="192">
                  <c:v>57941.666666663747</c:v>
                </c:pt>
                <c:pt idx="193">
                  <c:v>58033.333333330345</c:v>
                </c:pt>
                <c:pt idx="194">
                  <c:v>58124.999999996944</c:v>
                </c:pt>
                <c:pt idx="195">
                  <c:v>58216.666666663543</c:v>
                </c:pt>
                <c:pt idx="196">
                  <c:v>58308.333333330142</c:v>
                </c:pt>
                <c:pt idx="197">
                  <c:v>58399.99999999674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96160"/>
        <c:axId val="70396736"/>
      </c:scatterChart>
      <c:valAx>
        <c:axId val="70396160"/>
        <c:scaling>
          <c:orientation val="minMax"/>
          <c:min val="-20"/>
        </c:scaling>
        <c:delete val="0"/>
        <c:axPos val="b"/>
        <c:numFmt formatCode="General" sourceLinked="1"/>
        <c:majorTickMark val="out"/>
        <c:minorTickMark val="none"/>
        <c:tickLblPos val="nextTo"/>
        <c:crossAx val="70396736"/>
        <c:crosses val="autoZero"/>
        <c:crossBetween val="midCat"/>
      </c:valAx>
      <c:valAx>
        <c:axId val="7039673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703961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142874</xdr:colOff>
      <xdr:row>17</xdr:row>
      <xdr:rowOff>123824</xdr:rowOff>
    </xdr:from>
    <xdr:to>
      <xdr:col>26</xdr:col>
      <xdr:colOff>514349</xdr:colOff>
      <xdr:row>37</xdr:row>
      <xdr:rowOff>133349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317767</xdr:colOff>
      <xdr:row>13</xdr:row>
      <xdr:rowOff>133750</xdr:rowOff>
    </xdr:from>
    <xdr:to>
      <xdr:col>34</xdr:col>
      <xdr:colOff>130228</xdr:colOff>
      <xdr:row>31</xdr:row>
      <xdr:rowOff>68036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238124</xdr:colOff>
      <xdr:row>4</xdr:row>
      <xdr:rowOff>76199</xdr:rowOff>
    </xdr:from>
    <xdr:to>
      <xdr:col>51</xdr:col>
      <xdr:colOff>161925</xdr:colOff>
      <xdr:row>34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242526</xdr:colOff>
      <xdr:row>36</xdr:row>
      <xdr:rowOff>108057</xdr:rowOff>
    </xdr:from>
    <xdr:to>
      <xdr:col>51</xdr:col>
      <xdr:colOff>168729</xdr:colOff>
      <xdr:row>66</xdr:row>
      <xdr:rowOff>89008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219074</xdr:colOff>
      <xdr:row>284</xdr:row>
      <xdr:rowOff>119061</xdr:rowOff>
    </xdr:from>
    <xdr:to>
      <xdr:col>20</xdr:col>
      <xdr:colOff>628650</xdr:colOff>
      <xdr:row>326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43"/>
  <sheetViews>
    <sheetView tabSelected="1" zoomScale="85" zoomScaleNormal="85" workbookViewId="0">
      <selection activeCell="F13" sqref="F13"/>
    </sheetView>
  </sheetViews>
  <sheetFormatPr defaultRowHeight="14.5"/>
  <cols>
    <col min="1" max="3" width="1.453125" customWidth="1"/>
    <col min="4" max="4" width="17.1796875" customWidth="1"/>
    <col min="5" max="5" width="7" customWidth="1"/>
    <col min="6" max="9" width="11.7265625" customWidth="1"/>
    <col min="10" max="12" width="1.453125" customWidth="1"/>
    <col min="13" max="13" width="17.1796875" customWidth="1"/>
    <col min="14" max="14" width="11.81640625" customWidth="1"/>
    <col min="15" max="15" width="13.7265625" customWidth="1"/>
    <col min="16" max="16" width="11.7265625" customWidth="1"/>
    <col min="17" max="17" width="1.54296875" customWidth="1"/>
    <col min="18" max="18" width="1.453125" customWidth="1"/>
  </cols>
  <sheetData>
    <row r="1" spans="2:20" ht="7.5" customHeight="1" thickBot="1"/>
    <row r="2" spans="2:20" ht="7.5" customHeight="1" thickTop="1" thickBot="1">
      <c r="B2" s="73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5"/>
    </row>
    <row r="3" spans="2:20" ht="24" thickBot="1">
      <c r="B3" s="74"/>
      <c r="C3" s="452" t="s">
        <v>446</v>
      </c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4"/>
      <c r="R3" s="76"/>
    </row>
    <row r="4" spans="2:20" ht="7.5" customHeight="1" thickBot="1">
      <c r="B4" s="74"/>
      <c r="C4" s="79"/>
      <c r="D4" s="79"/>
      <c r="E4" s="79"/>
      <c r="F4" s="79"/>
      <c r="G4" s="79"/>
      <c r="H4" s="79"/>
      <c r="I4" s="79"/>
      <c r="J4" s="79"/>
      <c r="K4" s="80"/>
      <c r="L4" s="79"/>
      <c r="M4" s="79"/>
      <c r="N4" s="79"/>
      <c r="O4" s="79"/>
      <c r="P4" s="79"/>
      <c r="Q4" s="79"/>
      <c r="R4" s="76"/>
    </row>
    <row r="5" spans="2:20" ht="19" thickBot="1">
      <c r="B5" s="74"/>
      <c r="C5" s="455" t="s">
        <v>116</v>
      </c>
      <c r="D5" s="456"/>
      <c r="E5" s="456"/>
      <c r="F5" s="456"/>
      <c r="G5" s="456"/>
      <c r="H5" s="456"/>
      <c r="I5" s="456"/>
      <c r="J5" s="456"/>
      <c r="K5" s="81"/>
      <c r="L5" s="463" t="s">
        <v>111</v>
      </c>
      <c r="M5" s="464"/>
      <c r="N5" s="464"/>
      <c r="O5" s="464"/>
      <c r="P5" s="464"/>
      <c r="Q5" s="465"/>
      <c r="R5" s="76"/>
    </row>
    <row r="6" spans="2:20" ht="7.5" customHeight="1">
      <c r="B6" s="74"/>
      <c r="C6" s="112"/>
      <c r="D6" s="113"/>
      <c r="E6" s="113"/>
      <c r="F6" s="113"/>
      <c r="G6" s="113"/>
      <c r="H6" s="113"/>
      <c r="I6" s="113"/>
      <c r="J6" s="114"/>
      <c r="K6" s="111"/>
      <c r="L6" s="112"/>
      <c r="M6" s="113"/>
      <c r="N6" s="113"/>
      <c r="O6" s="113"/>
      <c r="P6" s="113"/>
      <c r="Q6" s="114"/>
      <c r="R6" s="76"/>
    </row>
    <row r="7" spans="2:20" ht="15.5">
      <c r="B7" s="74"/>
      <c r="C7" s="58"/>
      <c r="D7" s="110" t="s">
        <v>134</v>
      </c>
      <c r="E7" s="148" t="s">
        <v>203</v>
      </c>
      <c r="F7" s="104" t="s">
        <v>165</v>
      </c>
      <c r="G7" s="149" t="s">
        <v>204</v>
      </c>
      <c r="H7" s="466" t="s">
        <v>188</v>
      </c>
      <c r="I7" s="468"/>
      <c r="J7" s="53"/>
      <c r="K7" s="108"/>
      <c r="L7" s="460" t="s">
        <v>98</v>
      </c>
      <c r="M7" s="461"/>
      <c r="N7" s="461"/>
      <c r="O7" s="461"/>
      <c r="P7" s="461"/>
      <c r="Q7" s="462"/>
      <c r="R7" s="76"/>
    </row>
    <row r="8" spans="2:20">
      <c r="B8" s="74"/>
      <c r="C8" s="58"/>
      <c r="D8" s="110"/>
      <c r="E8" s="110"/>
      <c r="F8" s="110"/>
      <c r="G8" s="110"/>
      <c r="H8" s="110"/>
      <c r="I8" s="110"/>
      <c r="J8" s="53"/>
      <c r="K8" s="108"/>
      <c r="L8" s="58"/>
      <c r="M8" s="53"/>
      <c r="N8" s="53"/>
      <c r="O8" s="63"/>
      <c r="P8" s="53"/>
      <c r="Q8" s="54"/>
      <c r="R8" s="76"/>
    </row>
    <row r="9" spans="2:20">
      <c r="B9" s="74"/>
      <c r="C9" s="58"/>
      <c r="D9" s="53" t="s">
        <v>115</v>
      </c>
      <c r="E9" s="53"/>
      <c r="F9" s="104" t="s">
        <v>79</v>
      </c>
      <c r="G9" s="53"/>
      <c r="H9" s="191" t="s">
        <v>277</v>
      </c>
      <c r="I9" s="104">
        <v>20</v>
      </c>
      <c r="J9" s="53"/>
      <c r="K9" s="108"/>
      <c r="L9" s="58"/>
      <c r="M9" s="60" t="s">
        <v>100</v>
      </c>
      <c r="N9" s="60"/>
      <c r="O9" s="60"/>
      <c r="P9" s="61">
        <f>INDEX(totals,MATCH(exist_heat,type,0),MATCH("Cost ($)",total_value,0))</f>
        <v>3526.2236933468944</v>
      </c>
      <c r="Q9" s="54"/>
      <c r="R9" s="76"/>
      <c r="S9" s="109"/>
      <c r="T9" s="152"/>
    </row>
    <row r="10" spans="2:20">
      <c r="B10" s="74"/>
      <c r="C10" s="58"/>
      <c r="D10" s="53" t="s">
        <v>84</v>
      </c>
      <c r="E10" s="53"/>
      <c r="F10" s="105">
        <v>45000</v>
      </c>
      <c r="G10" s="53" t="s">
        <v>144</v>
      </c>
      <c r="H10" s="53"/>
      <c r="I10" s="53"/>
      <c r="J10" s="53"/>
      <c r="K10" s="108"/>
      <c r="L10" s="58"/>
      <c r="M10" s="67" t="s">
        <v>101</v>
      </c>
      <c r="N10" s="67"/>
      <c r="O10" s="53"/>
      <c r="P10" s="68">
        <f>INDEX(totals,MATCH(exist_heat,type,0),MATCH("Heat $",total_value,0))</f>
        <v>2861.6589206196218</v>
      </c>
      <c r="Q10" s="54"/>
      <c r="R10" s="76"/>
      <c r="T10" s="152"/>
    </row>
    <row r="11" spans="2:20">
      <c r="B11" s="74"/>
      <c r="C11" s="58"/>
      <c r="D11" s="53" t="s">
        <v>138</v>
      </c>
      <c r="E11" s="53"/>
      <c r="F11" s="106">
        <v>0.8</v>
      </c>
      <c r="G11" s="53" t="s">
        <v>82</v>
      </c>
      <c r="H11" s="104">
        <v>8</v>
      </c>
      <c r="I11" s="53" t="s">
        <v>75</v>
      </c>
      <c r="J11" s="53"/>
      <c r="K11" s="108"/>
      <c r="L11" s="58"/>
      <c r="M11" s="67" t="s">
        <v>102</v>
      </c>
      <c r="N11" s="67"/>
      <c r="O11" s="53"/>
      <c r="P11" s="68">
        <f>INDEX(totals,MATCH(exist_heat,type,0),MATCH("Cool $",total_value,0))</f>
        <v>664.56477272727273</v>
      </c>
      <c r="Q11" s="54"/>
      <c r="R11" s="76"/>
      <c r="T11" s="152"/>
    </row>
    <row r="12" spans="2:20">
      <c r="B12" s="74"/>
      <c r="C12" s="58"/>
      <c r="D12" s="53"/>
      <c r="E12" s="53"/>
      <c r="F12" s="53"/>
      <c r="G12" s="53"/>
      <c r="H12" s="53"/>
      <c r="I12" s="53"/>
      <c r="J12" s="53"/>
      <c r="K12" s="108"/>
      <c r="L12" s="58"/>
      <c r="M12" s="60" t="s">
        <v>99</v>
      </c>
      <c r="N12" s="60"/>
      <c r="O12" s="60"/>
      <c r="P12" s="62">
        <f>INDEX(totals,MATCH(exist_heat,type,0),MATCH("tot mbtu",total_value,0))</f>
        <v>68105.742592885363</v>
      </c>
      <c r="Q12" s="54"/>
      <c r="R12" s="76"/>
    </row>
    <row r="13" spans="2:20">
      <c r="B13" s="74"/>
      <c r="C13" s="58"/>
      <c r="D13" s="53" t="s">
        <v>86</v>
      </c>
      <c r="E13" s="53"/>
      <c r="F13" s="104" t="s">
        <v>88</v>
      </c>
      <c r="G13" s="53"/>
      <c r="H13" s="53"/>
      <c r="I13" s="53"/>
      <c r="J13" s="53"/>
      <c r="K13" s="108"/>
      <c r="L13" s="58"/>
      <c r="M13" s="67" t="s">
        <v>112</v>
      </c>
      <c r="N13" s="69"/>
      <c r="O13" s="53"/>
      <c r="P13" s="70">
        <f>INDEX(totals,MATCH(exist_heat,type,0),MATCH("kwh",total_value,0))</f>
        <v>20742.492313805258</v>
      </c>
      <c r="Q13" s="54"/>
      <c r="R13" s="76"/>
    </row>
    <row r="14" spans="2:20">
      <c r="B14" s="74"/>
      <c r="C14" s="58"/>
      <c r="D14" s="53" t="s">
        <v>85</v>
      </c>
      <c r="E14" s="53"/>
      <c r="F14" s="105">
        <v>36000</v>
      </c>
      <c r="G14" s="53" t="s">
        <v>144</v>
      </c>
      <c r="H14" s="53"/>
      <c r="I14" s="53"/>
      <c r="J14" s="53"/>
      <c r="K14" s="108"/>
      <c r="L14" s="58"/>
      <c r="M14" s="67" t="s">
        <v>113</v>
      </c>
      <c r="N14" s="67"/>
      <c r="O14" s="53"/>
      <c r="P14" s="70">
        <f>INDEX(totals,MATCH(exist_heat,type,0),MATCH("heat kwh",total_value,0))</f>
        <v>16833.287768350714</v>
      </c>
      <c r="Q14" s="54"/>
      <c r="R14" s="76"/>
    </row>
    <row r="15" spans="2:20">
      <c r="B15" s="74"/>
      <c r="C15" s="58"/>
      <c r="D15" s="53" t="s">
        <v>138</v>
      </c>
      <c r="E15" s="53"/>
      <c r="F15" s="104">
        <v>12</v>
      </c>
      <c r="G15" s="53" t="s">
        <v>139</v>
      </c>
      <c r="H15" s="53"/>
      <c r="I15" s="53"/>
      <c r="J15" s="53"/>
      <c r="K15" s="108"/>
      <c r="L15" s="58"/>
      <c r="M15" s="67" t="s">
        <v>114</v>
      </c>
      <c r="N15" s="67"/>
      <c r="O15" s="53"/>
      <c r="P15" s="70">
        <f>INDEX(totals,MATCH(exist_heat,type,0),MATCH("Cool kwh",total_value,0))</f>
        <v>3909.204545454545</v>
      </c>
      <c r="Q15" s="54"/>
      <c r="R15" s="76"/>
    </row>
    <row r="16" spans="2:20" ht="15" thickBot="1">
      <c r="B16" s="74"/>
      <c r="C16" s="58"/>
      <c r="D16" s="53" t="s">
        <v>96</v>
      </c>
      <c r="E16" s="53"/>
      <c r="F16" s="106">
        <v>1</v>
      </c>
      <c r="G16" s="53"/>
      <c r="H16" s="53"/>
      <c r="I16" s="53"/>
      <c r="J16" s="53"/>
      <c r="K16" s="108"/>
      <c r="L16" s="59"/>
      <c r="M16" s="55"/>
      <c r="N16" s="55"/>
      <c r="O16" s="55"/>
      <c r="P16" s="55"/>
      <c r="Q16" s="56"/>
      <c r="R16" s="76"/>
    </row>
    <row r="17" spans="1:20" ht="15.5">
      <c r="A17" s="38"/>
      <c r="B17" s="74"/>
      <c r="C17" s="58"/>
      <c r="D17" s="53"/>
      <c r="E17" s="53"/>
      <c r="F17" s="53"/>
      <c r="G17" s="53"/>
      <c r="H17" s="53"/>
      <c r="I17" s="53"/>
      <c r="J17" s="53"/>
      <c r="K17" s="78"/>
      <c r="L17" s="457" t="s">
        <v>103</v>
      </c>
      <c r="M17" s="458"/>
      <c r="N17" s="458"/>
      <c r="O17" s="458"/>
      <c r="P17" s="458"/>
      <c r="Q17" s="459"/>
      <c r="R17" s="76"/>
    </row>
    <row r="18" spans="1:20">
      <c r="B18" s="74"/>
      <c r="C18" s="58"/>
      <c r="D18" s="53" t="s">
        <v>145</v>
      </c>
      <c r="E18" s="53"/>
      <c r="F18" s="106">
        <v>0.2</v>
      </c>
      <c r="G18" s="53"/>
      <c r="H18" s="53"/>
      <c r="I18" s="53"/>
      <c r="J18" s="53"/>
      <c r="K18" s="78"/>
      <c r="L18" s="58"/>
      <c r="M18" s="53"/>
      <c r="N18" s="53"/>
      <c r="O18" s="63"/>
      <c r="P18" s="53"/>
      <c r="Q18" s="54"/>
      <c r="R18" s="76"/>
    </row>
    <row r="19" spans="1:20">
      <c r="B19" s="74"/>
      <c r="C19" s="58"/>
      <c r="D19" s="53"/>
      <c r="E19" s="53"/>
      <c r="F19" s="53"/>
      <c r="G19" s="53"/>
      <c r="H19" s="53"/>
      <c r="I19" s="53"/>
      <c r="J19" s="53"/>
      <c r="K19" s="78"/>
      <c r="L19" s="58"/>
      <c r="M19" s="60" t="s">
        <v>100</v>
      </c>
      <c r="N19" s="60"/>
      <c r="O19" s="60"/>
      <c r="P19" s="61">
        <f>Calcs!Z12</f>
        <v>1470.1197827532728</v>
      </c>
      <c r="Q19" s="54"/>
      <c r="R19" s="76"/>
      <c r="T19" s="152"/>
    </row>
    <row r="20" spans="1:20">
      <c r="B20" s="74"/>
      <c r="C20" s="58"/>
      <c r="D20" s="53"/>
      <c r="E20" s="53"/>
      <c r="F20" s="57" t="s">
        <v>79</v>
      </c>
      <c r="G20" s="57" t="s">
        <v>48</v>
      </c>
      <c r="H20" s="57" t="s">
        <v>49</v>
      </c>
      <c r="I20" s="57" t="s">
        <v>80</v>
      </c>
      <c r="J20" s="53"/>
      <c r="K20" s="78"/>
      <c r="L20" s="58"/>
      <c r="M20" s="67" t="s">
        <v>101</v>
      </c>
      <c r="N20" s="67"/>
      <c r="O20" s="53"/>
      <c r="P20" s="71">
        <f>Calcs!Z13</f>
        <v>1114.7969301672624</v>
      </c>
      <c r="Q20" s="54"/>
      <c r="R20" s="76"/>
    </row>
    <row r="21" spans="1:20" s="184" customFormat="1">
      <c r="B21" s="74"/>
      <c r="C21" s="58"/>
      <c r="D21" s="53"/>
      <c r="E21" s="53"/>
      <c r="F21" s="57"/>
      <c r="G21" s="57"/>
      <c r="H21" s="57"/>
      <c r="I21" s="57"/>
      <c r="J21" s="53"/>
      <c r="K21" s="78"/>
      <c r="L21" s="58"/>
      <c r="M21" s="248" t="s">
        <v>289</v>
      </c>
      <c r="N21" s="67"/>
      <c r="O21" s="53"/>
      <c r="P21" s="71">
        <f>Calcs!Z14</f>
        <v>0</v>
      </c>
      <c r="Q21" s="54"/>
      <c r="R21" s="76"/>
    </row>
    <row r="22" spans="1:20">
      <c r="B22" s="74"/>
      <c r="C22" s="58"/>
      <c r="D22" s="53" t="s">
        <v>97</v>
      </c>
      <c r="E22" s="53"/>
      <c r="F22" s="107">
        <v>0.17</v>
      </c>
      <c r="G22" s="107">
        <v>2.5</v>
      </c>
      <c r="H22" s="107">
        <v>2.5</v>
      </c>
      <c r="I22" s="107">
        <v>0.8</v>
      </c>
      <c r="J22" s="53"/>
      <c r="K22" s="78"/>
      <c r="L22" s="58"/>
      <c r="M22" s="67" t="s">
        <v>102</v>
      </c>
      <c r="N22" s="67"/>
      <c r="O22" s="53"/>
      <c r="P22" s="71">
        <f>Calcs!Z15</f>
        <v>355.32285258601053</v>
      </c>
      <c r="Q22" s="54"/>
      <c r="R22" s="76"/>
    </row>
    <row r="23" spans="1:20">
      <c r="B23" s="74"/>
      <c r="C23" s="58"/>
      <c r="D23" s="53"/>
      <c r="E23" s="53"/>
      <c r="F23" s="53"/>
      <c r="G23" s="53"/>
      <c r="H23" s="53"/>
      <c r="I23" s="53"/>
      <c r="J23" s="53"/>
      <c r="K23" s="78"/>
      <c r="L23" s="58"/>
      <c r="M23" s="60" t="s">
        <v>99</v>
      </c>
      <c r="N23" s="60"/>
      <c r="O23" s="60"/>
      <c r="P23" s="62">
        <f>Calcs!Z16</f>
        <v>29506.168816200981</v>
      </c>
      <c r="Q23" s="54"/>
      <c r="R23" s="76"/>
    </row>
    <row r="24" spans="1:20">
      <c r="B24" s="74"/>
      <c r="C24" s="58"/>
      <c r="D24" s="53" t="s">
        <v>143</v>
      </c>
      <c r="E24" s="53"/>
      <c r="F24" s="466" t="s">
        <v>42</v>
      </c>
      <c r="G24" s="467"/>
      <c r="H24" s="468"/>
      <c r="I24" s="53"/>
      <c r="J24" s="53"/>
      <c r="K24" s="78"/>
      <c r="L24" s="58"/>
      <c r="M24" s="67" t="s">
        <v>112</v>
      </c>
      <c r="N24" s="69"/>
      <c r="O24" s="53"/>
      <c r="P24" s="70">
        <f>Calcs!Z17</f>
        <v>8647.7634279604281</v>
      </c>
      <c r="Q24" s="54"/>
      <c r="R24" s="76"/>
      <c r="S24" s="147"/>
    </row>
    <row r="25" spans="1:20">
      <c r="B25" s="74"/>
      <c r="C25" s="58"/>
      <c r="D25" s="53" t="s">
        <v>18</v>
      </c>
      <c r="E25" s="53"/>
      <c r="F25" s="72">
        <f>INDEX(data,MATCH(me_unit,unit,0),MATCH("cool",top,0))</f>
        <v>48000</v>
      </c>
      <c r="G25" s="53"/>
      <c r="H25" s="53"/>
      <c r="I25" s="53"/>
      <c r="J25" s="53"/>
      <c r="K25" s="78"/>
      <c r="L25" s="58"/>
      <c r="M25" s="67" t="s">
        <v>113</v>
      </c>
      <c r="N25" s="67"/>
      <c r="O25" s="53"/>
      <c r="P25" s="70">
        <f>Calcs!Z18</f>
        <v>6557.6290009838958</v>
      </c>
      <c r="Q25" s="54"/>
      <c r="R25" s="76"/>
    </row>
    <row r="26" spans="1:20">
      <c r="B26" s="74"/>
      <c r="C26" s="58"/>
      <c r="D26" s="53" t="s">
        <v>19</v>
      </c>
      <c r="E26" s="53"/>
      <c r="F26" s="66">
        <f>INDEX(data,MATCH(me_unit,unit,0),MATCH("heat",top,0))</f>
        <v>54000</v>
      </c>
      <c r="G26" s="469" t="s">
        <v>263</v>
      </c>
      <c r="H26" s="470"/>
      <c r="I26" s="104" t="s">
        <v>154</v>
      </c>
      <c r="J26" s="53"/>
      <c r="K26" s="78"/>
      <c r="L26" s="58"/>
      <c r="M26" s="67" t="s">
        <v>114</v>
      </c>
      <c r="N26" s="67"/>
      <c r="O26" s="53"/>
      <c r="P26" s="70">
        <f>Calcs!Z19</f>
        <v>2090.1344269765323</v>
      </c>
      <c r="Q26" s="54"/>
      <c r="R26" s="76"/>
    </row>
    <row r="27" spans="1:20" ht="17.25" customHeight="1" thickBot="1">
      <c r="B27" s="74"/>
      <c r="C27" s="59"/>
      <c r="D27" s="55"/>
      <c r="E27" s="55"/>
      <c r="F27" s="55"/>
      <c r="G27" s="55"/>
      <c r="H27" s="55"/>
      <c r="I27" s="55"/>
      <c r="J27" s="55"/>
      <c r="K27" s="78"/>
      <c r="L27" s="59"/>
      <c r="M27" s="64"/>
      <c r="N27" s="64"/>
      <c r="O27" s="65"/>
      <c r="P27" s="55"/>
      <c r="Q27" s="56"/>
      <c r="R27" s="76"/>
    </row>
    <row r="28" spans="1:20" ht="7.5" customHeight="1" thickBot="1">
      <c r="B28" s="99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1"/>
    </row>
    <row r="29" spans="1:20" ht="14.25" customHeight="1" thickBot="1">
      <c r="B29" s="99"/>
      <c r="C29" s="188" t="s">
        <v>264</v>
      </c>
      <c r="D29" s="189"/>
      <c r="E29" s="189"/>
      <c r="F29" s="189"/>
      <c r="G29" s="189"/>
      <c r="H29" s="189"/>
      <c r="I29" s="189"/>
      <c r="J29" s="190"/>
      <c r="K29" s="100"/>
      <c r="L29" s="449" t="s">
        <v>133</v>
      </c>
      <c r="M29" s="450"/>
      <c r="N29" s="450"/>
      <c r="O29" s="450"/>
      <c r="P29" s="450"/>
      <c r="Q29" s="451"/>
      <c r="R29" s="101"/>
    </row>
    <row r="30" spans="1:20" ht="15" thickBot="1">
      <c r="B30" s="99"/>
      <c r="C30" s="100"/>
      <c r="D30" s="100"/>
      <c r="E30" s="100"/>
      <c r="F30" s="100"/>
      <c r="G30" s="100"/>
      <c r="H30" s="100"/>
      <c r="I30" s="100"/>
      <c r="J30" s="100"/>
      <c r="K30" s="100"/>
      <c r="L30" s="160"/>
      <c r="M30" s="110"/>
      <c r="N30" s="110"/>
      <c r="O30" s="110"/>
      <c r="P30" s="110"/>
      <c r="Q30" s="157"/>
      <c r="R30" s="101"/>
    </row>
    <row r="31" spans="1:20" ht="15" customHeight="1" thickBot="1">
      <c r="B31" s="99"/>
      <c r="C31" s="100"/>
      <c r="D31" s="442" t="s">
        <v>240</v>
      </c>
      <c r="E31" s="443"/>
      <c r="F31" s="443"/>
      <c r="G31" s="443"/>
      <c r="H31" s="443"/>
      <c r="I31" s="444"/>
      <c r="J31" s="100"/>
      <c r="K31" s="100"/>
      <c r="L31" s="102"/>
      <c r="M31" s="185" t="s">
        <v>131</v>
      </c>
      <c r="N31" s="185"/>
      <c r="O31" s="60"/>
      <c r="P31" s="186">
        <f>$P$9-$P$19</f>
        <v>2056.1039105936215</v>
      </c>
      <c r="Q31" s="103"/>
      <c r="R31" s="101"/>
    </row>
    <row r="32" spans="1:20">
      <c r="B32" s="99"/>
      <c r="C32" s="100"/>
      <c r="D32" s="260" t="s">
        <v>241</v>
      </c>
      <c r="E32" s="261"/>
      <c r="F32" s="262">
        <f>Calcs!C2</f>
        <v>86</v>
      </c>
      <c r="G32" s="263" t="s">
        <v>141</v>
      </c>
      <c r="H32" s="261"/>
      <c r="I32" s="264">
        <f>INDEX(data,MATCH(me_unit,unit,0),MATCH(47,top,0))</f>
        <v>3.75</v>
      </c>
      <c r="J32" s="100"/>
      <c r="K32" s="100"/>
      <c r="L32" s="102"/>
      <c r="M32" s="67" t="s">
        <v>132</v>
      </c>
      <c r="N32" s="67"/>
      <c r="O32" s="53"/>
      <c r="P32" s="71">
        <f>$P$10-$P$20</f>
        <v>1746.8619904523594</v>
      </c>
      <c r="Q32" s="103"/>
      <c r="R32" s="101"/>
    </row>
    <row r="33" spans="2:18">
      <c r="B33" s="99"/>
      <c r="C33" s="100"/>
      <c r="D33" s="265" t="s">
        <v>242</v>
      </c>
      <c r="E33" s="266"/>
      <c r="F33" s="267">
        <f>Calcs!C3</f>
        <v>4</v>
      </c>
      <c r="G33" s="268" t="s">
        <v>142</v>
      </c>
      <c r="H33" s="266"/>
      <c r="I33" s="269">
        <f>INDEX(data,MATCH(me_unit,unit,0),MATCH(17,top,0))</f>
        <v>2.7</v>
      </c>
      <c r="J33" s="100"/>
      <c r="K33" s="100"/>
      <c r="L33" s="58"/>
      <c r="M33" s="67" t="s">
        <v>45</v>
      </c>
      <c r="N33" s="67"/>
      <c r="O33" s="53"/>
      <c r="P33" s="71">
        <f>$P$11-$P$22</f>
        <v>309.2419201412622</v>
      </c>
      <c r="Q33" s="103"/>
      <c r="R33" s="101"/>
    </row>
    <row r="34" spans="2:18">
      <c r="B34" s="99"/>
      <c r="C34" s="100"/>
      <c r="D34" s="265" t="s">
        <v>243</v>
      </c>
      <c r="E34" s="266"/>
      <c r="F34" s="270">
        <f>VLOOKUP(me_unit,data,12,FALSE)</f>
        <v>54000</v>
      </c>
      <c r="G34" s="268" t="s">
        <v>140</v>
      </c>
      <c r="H34" s="266"/>
      <c r="I34" s="271">
        <f>INDEX(data,MATCH(me_unit,unit,0),MATCH(95,top,0))*3.412</f>
        <v>12</v>
      </c>
      <c r="J34" s="100"/>
      <c r="K34" s="100"/>
      <c r="L34" s="153"/>
      <c r="M34" s="156"/>
      <c r="N34" s="156"/>
      <c r="O34" s="154"/>
      <c r="P34" s="249"/>
      <c r="Q34" s="158"/>
      <c r="R34" s="101"/>
    </row>
    <row r="35" spans="2:18" ht="15" thickBot="1">
      <c r="B35" s="99"/>
      <c r="C35" s="100"/>
      <c r="D35" s="272" t="s">
        <v>244</v>
      </c>
      <c r="E35" s="273"/>
      <c r="F35" s="274">
        <f>VLOOKUP(me_unit,data,13,FALSE)</f>
        <v>54000</v>
      </c>
      <c r="G35" s="275" t="s">
        <v>74</v>
      </c>
      <c r="H35" s="273"/>
      <c r="I35" s="276">
        <f>INDEX(data,MATCH(me_unit,unit,0),MATCH(G35,top,0))*3.412</f>
        <v>18.899999999999999</v>
      </c>
      <c r="J35" s="100"/>
      <c r="K35" s="100"/>
      <c r="L35" s="155"/>
      <c r="M35" s="161"/>
      <c r="N35" s="161"/>
      <c r="O35" s="55"/>
      <c r="P35" s="159"/>
      <c r="Q35" s="56"/>
      <c r="R35" s="101"/>
    </row>
    <row r="36" spans="2:18" ht="7.5" customHeight="1" thickBot="1">
      <c r="B36" s="99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46"/>
      <c r="O36" s="100"/>
      <c r="P36" s="100"/>
      <c r="Q36" s="100"/>
      <c r="R36" s="101"/>
    </row>
    <row r="37" spans="2:18" ht="14.25" customHeight="1" thickTop="1">
      <c r="B37" s="445" t="s">
        <v>157</v>
      </c>
      <c r="C37" s="446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6"/>
      <c r="O37" s="446"/>
      <c r="P37" s="446"/>
      <c r="Q37" s="446"/>
      <c r="R37" s="447"/>
    </row>
    <row r="38" spans="2:18" ht="15.5">
      <c r="B38" s="448" t="s">
        <v>208</v>
      </c>
      <c r="C38" s="440"/>
      <c r="D38" s="440"/>
      <c r="E38" s="440"/>
      <c r="F38" s="440"/>
      <c r="G38" s="440"/>
      <c r="H38" s="440"/>
      <c r="I38" s="440"/>
      <c r="J38" s="440"/>
      <c r="K38" s="440"/>
      <c r="L38" s="440"/>
      <c r="M38" s="440"/>
      <c r="N38" s="440"/>
      <c r="O38" s="440"/>
      <c r="P38" s="440"/>
      <c r="Q38" s="440"/>
      <c r="R38" s="441"/>
    </row>
    <row r="39" spans="2:18" ht="15.5">
      <c r="B39" s="439" t="s">
        <v>209</v>
      </c>
      <c r="C39" s="440"/>
      <c r="D39" s="440"/>
      <c r="E39" s="440"/>
      <c r="F39" s="440"/>
      <c r="G39" s="440"/>
      <c r="H39" s="440"/>
      <c r="I39" s="440"/>
      <c r="J39" s="440"/>
      <c r="K39" s="440"/>
      <c r="L39" s="440"/>
      <c r="M39" s="440"/>
      <c r="N39" s="440"/>
      <c r="O39" s="440"/>
      <c r="P39" s="440"/>
      <c r="Q39" s="440"/>
      <c r="R39" s="441"/>
    </row>
    <row r="40" spans="2:18" ht="15.5">
      <c r="B40" s="439" t="s">
        <v>158</v>
      </c>
      <c r="C40" s="440"/>
      <c r="D40" s="440"/>
      <c r="E40" s="440"/>
      <c r="F40" s="440"/>
      <c r="G40" s="440"/>
      <c r="H40" s="440"/>
      <c r="I40" s="440"/>
      <c r="J40" s="440"/>
      <c r="K40" s="440"/>
      <c r="L40" s="440"/>
      <c r="M40" s="440"/>
      <c r="N40" s="440"/>
      <c r="O40" s="440"/>
      <c r="P40" s="440"/>
      <c r="Q40" s="440"/>
      <c r="R40" s="441"/>
    </row>
    <row r="41" spans="2:18" ht="15.5">
      <c r="B41" s="439" t="s">
        <v>159</v>
      </c>
      <c r="C41" s="440"/>
      <c r="D41" s="440"/>
      <c r="E41" s="440"/>
      <c r="F41" s="440"/>
      <c r="G41" s="440"/>
      <c r="H41" s="440"/>
      <c r="I41" s="440"/>
      <c r="J41" s="440"/>
      <c r="K41" s="440"/>
      <c r="L41" s="440"/>
      <c r="M41" s="440"/>
      <c r="N41" s="440"/>
      <c r="O41" s="440"/>
      <c r="P41" s="440"/>
      <c r="Q41" s="440"/>
      <c r="R41" s="441"/>
    </row>
    <row r="42" spans="2:18" ht="16" thickBot="1">
      <c r="B42" s="436" t="s">
        <v>265</v>
      </c>
      <c r="C42" s="437"/>
      <c r="D42" s="437"/>
      <c r="E42" s="437"/>
      <c r="F42" s="437"/>
      <c r="G42" s="437"/>
      <c r="H42" s="437"/>
      <c r="I42" s="437"/>
      <c r="J42" s="437"/>
      <c r="K42" s="437"/>
      <c r="L42" s="437"/>
      <c r="M42" s="437"/>
      <c r="N42" s="437"/>
      <c r="O42" s="437"/>
      <c r="P42" s="437"/>
      <c r="Q42" s="437"/>
      <c r="R42" s="438"/>
    </row>
    <row r="43" spans="2:18" ht="15" thickTop="1"/>
  </sheetData>
  <sheetProtection password="D9D7" sheet="1" objects="1" scenarios="1" selectLockedCells="1"/>
  <mergeCells count="16">
    <mergeCell ref="L29:Q29"/>
    <mergeCell ref="C3:Q3"/>
    <mergeCell ref="C5:J5"/>
    <mergeCell ref="L17:Q17"/>
    <mergeCell ref="L7:Q7"/>
    <mergeCell ref="L5:Q5"/>
    <mergeCell ref="F24:H24"/>
    <mergeCell ref="G26:H26"/>
    <mergeCell ref="H7:I7"/>
    <mergeCell ref="B42:R42"/>
    <mergeCell ref="B39:R39"/>
    <mergeCell ref="D31:I31"/>
    <mergeCell ref="B37:R37"/>
    <mergeCell ref="B38:R38"/>
    <mergeCell ref="B40:R40"/>
    <mergeCell ref="B41:R41"/>
  </mergeCells>
  <conditionalFormatting sqref="D18:F18 G20:I22">
    <cfRule type="expression" dxfId="25" priority="35">
      <formula>exist_heat="electric"</formula>
    </cfRule>
  </conditionalFormatting>
  <conditionalFormatting sqref="H20:I22">
    <cfRule type="expression" dxfId="24" priority="34">
      <formula>exist_heat="oil"</formula>
    </cfRule>
  </conditionalFormatting>
  <conditionalFormatting sqref="G20:G22 I20:I22">
    <cfRule type="expression" dxfId="23" priority="33">
      <formula>exist_heat="propane"</formula>
    </cfRule>
  </conditionalFormatting>
  <conditionalFormatting sqref="G20:H22">
    <cfRule type="expression" dxfId="22" priority="32">
      <formula>exist_heat="natural gas"</formula>
    </cfRule>
  </conditionalFormatting>
  <conditionalFormatting sqref="G20:I22">
    <cfRule type="expression" dxfId="21" priority="31">
      <formula>exist_heat="heat pump"</formula>
    </cfRule>
  </conditionalFormatting>
  <conditionalFormatting sqref="D16:F16">
    <cfRule type="expression" dxfId="20" priority="30">
      <formula>OR($F$13="none",$F$13="central ac")</formula>
    </cfRule>
  </conditionalFormatting>
  <conditionalFormatting sqref="D15:G15">
    <cfRule type="expression" dxfId="19" priority="29">
      <formula>$F$13="none"</formula>
    </cfRule>
  </conditionalFormatting>
  <conditionalFormatting sqref="D11:I11">
    <cfRule type="expression" dxfId="18" priority="28">
      <formula>$F$9="electric"</formula>
    </cfRule>
  </conditionalFormatting>
  <conditionalFormatting sqref="H11:I11">
    <cfRule type="expression" dxfId="17" priority="27">
      <formula>$F$9&lt;&gt;"heat pump"</formula>
    </cfRule>
  </conditionalFormatting>
  <conditionalFormatting sqref="F11:G11">
    <cfRule type="expression" dxfId="16" priority="12">
      <formula>$F$9="heat pump"</formula>
    </cfRule>
  </conditionalFormatting>
  <conditionalFormatting sqref="G26:I26">
    <cfRule type="expression" dxfId="15" priority="17">
      <formula>AND(WDT&gt;=0,OR(VLOOKUP(me_unit,data,14,FALSE)="no",buh=0))</formula>
    </cfRule>
  </conditionalFormatting>
  <conditionalFormatting sqref="H7:I7">
    <cfRule type="expression" dxfId="14" priority="21">
      <formula>HLOOKUP($H$7,loc,2,FALSE)&lt;&gt;$F$7</formula>
    </cfRule>
  </conditionalFormatting>
  <conditionalFormatting sqref="I26">
    <cfRule type="expression" dxfId="13" priority="19">
      <formula>AND(BUT="no",buh&gt;0)</formula>
    </cfRule>
  </conditionalFormatting>
  <conditionalFormatting sqref="C29:J29">
    <cfRule type="expression" dxfId="12" priority="15">
      <formula>OR(buh=0,BUT="Yes",AND(WDT&gt;=0,BUT="no",VLOOKUP(me_unit,data,14,FALSE)="no"))</formula>
    </cfRule>
  </conditionalFormatting>
  <conditionalFormatting sqref="H9:I9">
    <cfRule type="expression" dxfId="11" priority="14">
      <formula>$F$9&lt;&gt;"heat pump"</formula>
    </cfRule>
  </conditionalFormatting>
  <conditionalFormatting sqref="F11">
    <cfRule type="expression" dxfId="10" priority="11">
      <formula>$F$9="heat pump"</formula>
    </cfRule>
    <cfRule type="expression" dxfId="9" priority="26">
      <formula>$F$9="electric"</formula>
    </cfRule>
  </conditionalFormatting>
  <conditionalFormatting sqref="G11">
    <cfRule type="expression" dxfId="8" priority="10">
      <formula>$F$9="heat pump"</formula>
    </cfRule>
  </conditionalFormatting>
  <conditionalFormatting sqref="F16">
    <cfRule type="expression" dxfId="7" priority="9">
      <formula>$F$13="central ac"</formula>
    </cfRule>
  </conditionalFormatting>
  <conditionalFormatting sqref="F15">
    <cfRule type="expression" dxfId="6" priority="8">
      <formula>$F$13="none"</formula>
    </cfRule>
  </conditionalFormatting>
  <conditionalFormatting sqref="G22">
    <cfRule type="expression" dxfId="5" priority="3">
      <formula>exist_heat="propane"</formula>
    </cfRule>
    <cfRule type="expression" dxfId="4" priority="7">
      <formula>OR(exist_heat="heat pump",exist_heat="electric",exist_heat="natural gas")</formula>
    </cfRule>
  </conditionalFormatting>
  <conditionalFormatting sqref="H22">
    <cfRule type="expression" dxfId="3" priority="4">
      <formula>exist_heat="oil"</formula>
    </cfRule>
    <cfRule type="expression" dxfId="2" priority="5">
      <formula>exist_heat="natural gas"</formula>
    </cfRule>
  </conditionalFormatting>
  <conditionalFormatting sqref="I22">
    <cfRule type="expression" dxfId="1" priority="2">
      <formula>exist_heat="propane"</formula>
    </cfRule>
  </conditionalFormatting>
  <conditionalFormatting sqref="G26:H26">
    <cfRule type="expression" dxfId="0" priority="1">
      <formula>AND(WDT&gt;=0,OR(VLOOKUP(me_unit,data,14,FALSE)="no",buh=0))</formula>
    </cfRule>
  </conditionalFormatting>
  <dataValidations xWindow="370" yWindow="420" count="16">
    <dataValidation type="list" allowBlank="1" showInputMessage="1" showErrorMessage="1" sqref="H7:I7">
      <formula1>INDIRECT(St)</formula1>
    </dataValidation>
    <dataValidation type="list" allowBlank="1" showInputMessage="1" showErrorMessage="1" sqref="F7">
      <formula1>INDIRECT("state")</formula1>
    </dataValidation>
    <dataValidation type="decimal" allowBlank="1" showInputMessage="1" showErrorMessage="1" errorTitle="Value out of Range" error="Value needs to be between 0 and 50%" promptTitle="System Distribution Loss" prompt="Please enter a value between 0 and 50%_x000a_*Typical duct loss is between 25 and 40% (US DOE) " sqref="F18">
      <formula1>0</formula1>
      <formula2>0.5</formula2>
    </dataValidation>
    <dataValidation type="decimal" allowBlank="1" showInputMessage="1" showErrorMessage="1" promptTitle="Existing Heating Efficiency" prompt="Please enter an existing heating efficiency between 50% and 100%" sqref="F11">
      <formula1>0.5</formula1>
      <formula2>1</formula2>
    </dataValidation>
    <dataValidation type="decimal" allowBlank="1" showInputMessage="1" showErrorMessage="1" errorTitle="Value out of Range" error="Enter a number between 6 and 30" promptTitle="Seasonal Energy Efficiency" prompt="Please enter a number between 6 and 30" sqref="F15">
      <formula1>6</formula1>
      <formula2>30</formula2>
    </dataValidation>
    <dataValidation type="decimal" allowBlank="1" showInputMessage="1" showErrorMessage="1" errorTitle="Value out of Range" error="Enter a heat pump efficiency between 1 and 15" promptTitle="Heat Pump Efficiency" prompt="Please enter a heat pump efficiency between 1 and 15" sqref="H11">
      <formula1>1</formula1>
      <formula2>15</formula2>
    </dataValidation>
    <dataValidation type="decimal" allowBlank="1" showInputMessage="1" showErrorMessage="1" errorTitle="Invalid Electric Rate" error="Please enter a rate between 0 and 1 $/KWH" promptTitle="Electric Rate" prompt="Enter an elecrtic rate in $/KWH" sqref="F22">
      <formula1>0</formula1>
      <formula2>1</formula2>
    </dataValidation>
    <dataValidation type="decimal" allowBlank="1" showInputMessage="1" showErrorMessage="1" errorTitle="Invalid Percentage" error="Please Enter the percentage of the house that is cooled between 0 and 100%" sqref="F16">
      <formula1>0</formula1>
      <formula2>1</formula2>
    </dataValidation>
    <dataValidation allowBlank="1" showInputMessage="1" showErrorMessage="1" promptTitle="Oil Rate" prompt="Enter an oil rate in $/gal" sqref="G22"/>
    <dataValidation allowBlank="1" showInputMessage="1" showErrorMessage="1" promptTitle="Propane Rate" prompt="Enter a propane rate in $/gal" sqref="H22"/>
    <dataValidation allowBlank="1" showInputMessage="1" showErrorMessage="1" promptTitle="Natural Gas Rate" prompt="Enter a natural gas rate in $/therm" sqref="I22"/>
    <dataValidation type="list" allowBlank="1" showInputMessage="1" showErrorMessage="1" promptTitle="Backup Heat Assumptions" prompt="If selected, the existing heating system above is used for backup to the Mitsubishi system and will be sole heat source below 25F" sqref="I26">
      <formula1>yes_no</formula1>
    </dataValidation>
    <dataValidation type="list" allowBlank="1" showInputMessage="1" showErrorMessage="1" sqref="I9">
      <formula1>HP_T</formula1>
    </dataValidation>
    <dataValidation type="list" allowBlank="1" showInputMessage="1" showErrorMessage="1" sqref="F24:H24">
      <formula1>INDIRECT("unit_select")</formula1>
    </dataValidation>
    <dataValidation type="list" allowBlank="1" showInputMessage="1" showErrorMessage="1" sqref="F13">
      <formula1>INDIRECT("cooling_select")</formula1>
    </dataValidation>
    <dataValidation type="list" allowBlank="1" showInputMessage="1" showErrorMessage="1" sqref="F9">
      <formula1>INDIRECT("fuel_select")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2"/>
  <sheetViews>
    <sheetView zoomScale="55" zoomScaleNormal="55" workbookViewId="0">
      <selection activeCell="AJ39" sqref="AJ39"/>
    </sheetView>
  </sheetViews>
  <sheetFormatPr defaultColWidth="9.1796875" defaultRowHeight="14.5"/>
  <cols>
    <col min="1" max="4" width="9.1796875" style="184"/>
    <col min="5" max="7" width="9.1796875" style="184" customWidth="1"/>
    <col min="8" max="8" width="9.1796875" style="184"/>
    <col min="9" max="9" width="11" style="184" bestFit="1" customWidth="1"/>
    <col min="10" max="11" width="9.1796875" style="184" hidden="1" customWidth="1"/>
    <col min="12" max="27" width="10.1796875" style="184" hidden="1" customWidth="1"/>
    <col min="28" max="28" width="10.1796875" style="184" customWidth="1"/>
    <col min="29" max="29" width="14.26953125" style="184" bestFit="1" customWidth="1"/>
    <col min="30" max="30" width="14.453125" style="184" bestFit="1" customWidth="1"/>
    <col min="31" max="31" width="22" style="184" bestFit="1" customWidth="1"/>
    <col min="32" max="32" width="16.453125" style="184" customWidth="1"/>
    <col min="33" max="16384" width="9.1796875" style="184"/>
  </cols>
  <sheetData>
    <row r="1" spans="1:32">
      <c r="C1" s="184" t="s">
        <v>358</v>
      </c>
      <c r="D1" s="184" t="s">
        <v>359</v>
      </c>
    </row>
    <row r="2" spans="1:32">
      <c r="B2" s="10" t="s">
        <v>17</v>
      </c>
      <c r="C2" s="184">
        <f>HLOOKUP(Local,weather,32,FALSE)</f>
        <v>86</v>
      </c>
      <c r="D2" s="184">
        <v>72</v>
      </c>
    </row>
    <row r="3" spans="1:32">
      <c r="B3" s="10" t="s">
        <v>16</v>
      </c>
      <c r="C3" s="184">
        <f>HLOOKUP(Local,weather,33,FALSE)</f>
        <v>4</v>
      </c>
      <c r="D3" s="184">
        <v>70</v>
      </c>
      <c r="L3" s="302">
        <v>0.25</v>
      </c>
      <c r="M3" s="302">
        <f>L3+0.05</f>
        <v>0.3</v>
      </c>
      <c r="N3" s="302">
        <f t="shared" ref="N3:Y3" si="0">M3+0.05</f>
        <v>0.35</v>
      </c>
      <c r="O3" s="302">
        <f t="shared" si="0"/>
        <v>0.39999999999999997</v>
      </c>
      <c r="P3" s="302">
        <f t="shared" si="0"/>
        <v>0.44999999999999996</v>
      </c>
      <c r="Q3" s="302">
        <f t="shared" si="0"/>
        <v>0.49999999999999994</v>
      </c>
      <c r="R3" s="302">
        <f t="shared" si="0"/>
        <v>0.54999999999999993</v>
      </c>
      <c r="S3" s="302">
        <f t="shared" si="0"/>
        <v>0.6</v>
      </c>
      <c r="T3" s="302">
        <f t="shared" si="0"/>
        <v>0.65</v>
      </c>
      <c r="U3" s="302">
        <f t="shared" si="0"/>
        <v>0.70000000000000007</v>
      </c>
      <c r="V3" s="302">
        <f t="shared" si="0"/>
        <v>0.75000000000000011</v>
      </c>
      <c r="W3" s="302">
        <f t="shared" si="0"/>
        <v>0.80000000000000016</v>
      </c>
      <c r="X3" s="302">
        <f t="shared" si="0"/>
        <v>0.8500000000000002</v>
      </c>
      <c r="Y3" s="302">
        <f t="shared" si="0"/>
        <v>0.90000000000000024</v>
      </c>
      <c r="Z3" s="302">
        <f>Y3+0.05</f>
        <v>0.95000000000000029</v>
      </c>
    </row>
    <row r="4" spans="1:32">
      <c r="A4" s="482" t="s">
        <v>1</v>
      </c>
      <c r="B4" s="482"/>
      <c r="C4" s="277" t="s">
        <v>52</v>
      </c>
      <c r="D4" s="277" t="s">
        <v>2</v>
      </c>
      <c r="E4" s="277" t="s">
        <v>63</v>
      </c>
      <c r="F4" s="277" t="s">
        <v>137</v>
      </c>
      <c r="G4" s="301" t="s">
        <v>7</v>
      </c>
      <c r="H4" s="301" t="s">
        <v>21</v>
      </c>
      <c r="I4" s="301" t="s">
        <v>50</v>
      </c>
      <c r="J4" s="300" t="s">
        <v>278</v>
      </c>
      <c r="K4" s="300" t="s">
        <v>5</v>
      </c>
      <c r="L4" s="39">
        <f>$AA$4*L3</f>
        <v>11250</v>
      </c>
      <c r="M4" s="39">
        <f>$AA$4*M3</f>
        <v>13500</v>
      </c>
      <c r="N4" s="39">
        <f>$AA$4*N3</f>
        <v>15749.999999999998</v>
      </c>
      <c r="O4" s="39">
        <f t="shared" ref="O4:Z4" si="1">$AA$4*O3</f>
        <v>18000</v>
      </c>
      <c r="P4" s="39">
        <f t="shared" si="1"/>
        <v>20249.999999999996</v>
      </c>
      <c r="Q4" s="39">
        <f t="shared" si="1"/>
        <v>22499.999999999996</v>
      </c>
      <c r="R4" s="39">
        <f t="shared" si="1"/>
        <v>24749.999999999996</v>
      </c>
      <c r="S4" s="39">
        <f t="shared" si="1"/>
        <v>27000</v>
      </c>
      <c r="T4" s="39">
        <f t="shared" si="1"/>
        <v>29250</v>
      </c>
      <c r="U4" s="39">
        <f t="shared" si="1"/>
        <v>31500.000000000004</v>
      </c>
      <c r="V4" s="39">
        <f t="shared" si="1"/>
        <v>33750.000000000007</v>
      </c>
      <c r="W4" s="39">
        <f t="shared" si="1"/>
        <v>36000.000000000007</v>
      </c>
      <c r="X4" s="39">
        <f t="shared" si="1"/>
        <v>38250.000000000007</v>
      </c>
      <c r="Y4" s="39">
        <f t="shared" si="1"/>
        <v>40500.000000000015</v>
      </c>
      <c r="Z4" s="39">
        <f t="shared" si="1"/>
        <v>42750.000000000015</v>
      </c>
      <c r="AA4" s="39">
        <f>heat_load</f>
        <v>45000</v>
      </c>
      <c r="AB4" s="39"/>
      <c r="AD4" s="277" t="s">
        <v>355</v>
      </c>
      <c r="AE4" s="277" t="s">
        <v>356</v>
      </c>
      <c r="AF4" s="277" t="s">
        <v>360</v>
      </c>
    </row>
    <row r="5" spans="1:32">
      <c r="A5" s="279">
        <v>-30</v>
      </c>
      <c r="B5" s="279">
        <v>-25</v>
      </c>
      <c r="C5" s="28">
        <f t="shared" ref="C5:C8" si="2">(A5+B5)/2</f>
        <v>-27.5</v>
      </c>
      <c r="D5" s="280">
        <f t="shared" ref="D5:D23" si="3">HLOOKUP(Local,weather,MATCH(C5,binavg,0),FALSE)</f>
        <v>0</v>
      </c>
      <c r="E5" s="281">
        <f t="shared" ref="E5:E8" si="4">D5*H5</f>
        <v>0</v>
      </c>
      <c r="F5" s="138">
        <v>1</v>
      </c>
      <c r="G5" s="282">
        <f t="shared" ref="G5:G10" si="5">G6*0.95</f>
        <v>1.4392731672492185</v>
      </c>
      <c r="H5" s="283">
        <f>IF(($D$3-C5)&lt;5,0,IF(($D$3-C5)&gt;=($D$3-$C$3),1,MAX(0,MIN(1,(($D$3-8)-C5)/($D$3-($C$3-5))))))</f>
        <v>1</v>
      </c>
      <c r="I5" s="284">
        <f t="shared" ref="I5:I23" si="6">H5*heat_load</f>
        <v>45000</v>
      </c>
      <c r="J5" s="23">
        <f>I5*D5*F5/1000</f>
        <v>0</v>
      </c>
      <c r="K5" s="23">
        <f t="shared" ref="K5:K16" si="7">IF(AND($AS$30="yes",B5&lt;=$AS$31),0,J5/3.412/G5+$AG$18*D5*H5)</f>
        <v>0</v>
      </c>
      <c r="L5" s="120">
        <f t="shared" ref="L5:P23" si="8">IF($D5=0,0,IF($I5&lt;=L$4,$I5*$D5*$H5,L$4*$D5*$H5))</f>
        <v>0</v>
      </c>
      <c r="M5" s="120">
        <f t="shared" si="8"/>
        <v>0</v>
      </c>
      <c r="N5" s="120">
        <f t="shared" si="8"/>
        <v>0</v>
      </c>
      <c r="O5" s="120">
        <f t="shared" si="8"/>
        <v>0</v>
      </c>
      <c r="P5" s="120">
        <f t="shared" si="8"/>
        <v>0</v>
      </c>
      <c r="Q5" s="120">
        <f t="shared" ref="Q5:Z20" si="9">IF($D5=0,0,IF($I5&lt;=Q$4,$I5*$D5*$H5,Q$4*$D5*$H5))</f>
        <v>0</v>
      </c>
      <c r="R5" s="120">
        <f t="shared" si="9"/>
        <v>0</v>
      </c>
      <c r="S5" s="120">
        <f t="shared" si="9"/>
        <v>0</v>
      </c>
      <c r="T5" s="120">
        <f t="shared" si="9"/>
        <v>0</v>
      </c>
      <c r="U5" s="120">
        <f t="shared" si="9"/>
        <v>0</v>
      </c>
      <c r="V5" s="120">
        <f t="shared" si="9"/>
        <v>0</v>
      </c>
      <c r="W5" s="120">
        <f t="shared" si="9"/>
        <v>0</v>
      </c>
      <c r="X5" s="120">
        <f t="shared" si="9"/>
        <v>0</v>
      </c>
      <c r="Y5" s="120">
        <f t="shared" si="9"/>
        <v>0</v>
      </c>
      <c r="Z5" s="120">
        <f t="shared" si="9"/>
        <v>0</v>
      </c>
      <c r="AA5" s="120">
        <f t="shared" ref="AA5" si="10">IF($D5=0,0,IF($I5&lt;=AA$4,$I5*$D5,AA$4*$D5*$H5))</f>
        <v>0</v>
      </c>
      <c r="AB5" s="120"/>
      <c r="AC5" s="302"/>
      <c r="AD5" s="295">
        <v>0.25</v>
      </c>
      <c r="AE5" s="292">
        <f>$L$24/$AA$24</f>
        <v>0.53168209718933268</v>
      </c>
      <c r="AF5" s="303">
        <f>1-AE5</f>
        <v>0.46831790281066732</v>
      </c>
    </row>
    <row r="6" spans="1:32">
      <c r="A6" s="279">
        <v>-25</v>
      </c>
      <c r="B6" s="279">
        <v>-20</v>
      </c>
      <c r="C6" s="28">
        <f t="shared" si="2"/>
        <v>-22.5</v>
      </c>
      <c r="D6" s="28">
        <f t="shared" si="3"/>
        <v>0</v>
      </c>
      <c r="E6" s="281">
        <f t="shared" si="4"/>
        <v>0</v>
      </c>
      <c r="F6" s="138">
        <v>1</v>
      </c>
      <c r="G6" s="282">
        <f t="shared" si="5"/>
        <v>1.5150243865781248</v>
      </c>
      <c r="H6" s="283">
        <f t="shared" ref="H6:H23" si="11">IF(($D$3-C6)&lt;5,0,IF(($D$3-C6)&gt;=($D$3-$C$3),1,MAX(0,MIN(1,(($D$3-8)-C6)/($D$3-($C$3-5))))))</f>
        <v>1</v>
      </c>
      <c r="I6" s="284">
        <f t="shared" si="6"/>
        <v>45000</v>
      </c>
      <c r="J6" s="23">
        <f t="shared" ref="J6:J23" si="12">I6*D6*F6/1000</f>
        <v>0</v>
      </c>
      <c r="K6" s="23">
        <f t="shared" si="7"/>
        <v>0</v>
      </c>
      <c r="L6" s="120">
        <f t="shared" si="8"/>
        <v>0</v>
      </c>
      <c r="M6" s="120">
        <f t="shared" si="8"/>
        <v>0</v>
      </c>
      <c r="N6" s="120">
        <f t="shared" si="8"/>
        <v>0</v>
      </c>
      <c r="O6" s="120">
        <f t="shared" si="8"/>
        <v>0</v>
      </c>
      <c r="P6" s="120">
        <f t="shared" si="8"/>
        <v>0</v>
      </c>
      <c r="Q6" s="120">
        <f t="shared" si="9"/>
        <v>0</v>
      </c>
      <c r="R6" s="120">
        <f t="shared" si="9"/>
        <v>0</v>
      </c>
      <c r="S6" s="120">
        <f t="shared" si="9"/>
        <v>0</v>
      </c>
      <c r="T6" s="120">
        <f t="shared" si="9"/>
        <v>0</v>
      </c>
      <c r="U6" s="120">
        <f t="shared" si="9"/>
        <v>0</v>
      </c>
      <c r="V6" s="120">
        <f t="shared" si="9"/>
        <v>0</v>
      </c>
      <c r="W6" s="120">
        <f t="shared" si="9"/>
        <v>0</v>
      </c>
      <c r="X6" s="120">
        <f t="shared" si="9"/>
        <v>0</v>
      </c>
      <c r="Y6" s="120">
        <f t="shared" si="9"/>
        <v>0</v>
      </c>
      <c r="Z6" s="120">
        <f t="shared" si="9"/>
        <v>0</v>
      </c>
      <c r="AA6" s="120">
        <f t="shared" ref="AA6:AA23" si="13">IF($D6=0,0,IF($I6&lt;=AA$4,$I6*$D6,AA$4*$D6*$H6))</f>
        <v>0</v>
      </c>
      <c r="AB6" s="120"/>
      <c r="AD6" s="295">
        <f>AD5+0.05</f>
        <v>0.3</v>
      </c>
      <c r="AE6" s="295">
        <f>$M$24/$AA$24</f>
        <v>0.62257436908506003</v>
      </c>
      <c r="AF6" s="303">
        <f t="shared" ref="AF6:AF20" si="14">1-AE6</f>
        <v>0.37742563091493997</v>
      </c>
    </row>
    <row r="7" spans="1:32">
      <c r="A7" s="279">
        <v>-20</v>
      </c>
      <c r="B7" s="279">
        <v>-15</v>
      </c>
      <c r="C7" s="28">
        <f t="shared" si="2"/>
        <v>-17.5</v>
      </c>
      <c r="D7" s="28">
        <f t="shared" si="3"/>
        <v>0</v>
      </c>
      <c r="E7" s="281">
        <f t="shared" si="4"/>
        <v>0</v>
      </c>
      <c r="F7" s="138">
        <v>1</v>
      </c>
      <c r="G7" s="282">
        <f t="shared" si="5"/>
        <v>1.5947625121874998</v>
      </c>
      <c r="H7" s="283">
        <f t="shared" si="11"/>
        <v>1</v>
      </c>
      <c r="I7" s="284">
        <f t="shared" si="6"/>
        <v>45000</v>
      </c>
      <c r="J7" s="23">
        <f t="shared" si="12"/>
        <v>0</v>
      </c>
      <c r="K7" s="23">
        <f t="shared" si="7"/>
        <v>0</v>
      </c>
      <c r="L7" s="120">
        <f t="shared" si="8"/>
        <v>0</v>
      </c>
      <c r="M7" s="120">
        <f t="shared" si="8"/>
        <v>0</v>
      </c>
      <c r="N7" s="120">
        <f t="shared" si="8"/>
        <v>0</v>
      </c>
      <c r="O7" s="120">
        <f t="shared" si="8"/>
        <v>0</v>
      </c>
      <c r="P7" s="120">
        <f t="shared" si="8"/>
        <v>0</v>
      </c>
      <c r="Q7" s="120">
        <f t="shared" si="9"/>
        <v>0</v>
      </c>
      <c r="R7" s="120">
        <f t="shared" si="9"/>
        <v>0</v>
      </c>
      <c r="S7" s="120">
        <f t="shared" si="9"/>
        <v>0</v>
      </c>
      <c r="T7" s="120">
        <f t="shared" si="9"/>
        <v>0</v>
      </c>
      <c r="U7" s="120">
        <f t="shared" si="9"/>
        <v>0</v>
      </c>
      <c r="V7" s="120">
        <f t="shared" si="9"/>
        <v>0</v>
      </c>
      <c r="W7" s="120">
        <f t="shared" si="9"/>
        <v>0</v>
      </c>
      <c r="X7" s="120">
        <f t="shared" si="9"/>
        <v>0</v>
      </c>
      <c r="Y7" s="120">
        <f t="shared" si="9"/>
        <v>0</v>
      </c>
      <c r="Z7" s="120">
        <f t="shared" si="9"/>
        <v>0</v>
      </c>
      <c r="AA7" s="120">
        <f t="shared" si="13"/>
        <v>0</v>
      </c>
      <c r="AB7" s="120"/>
      <c r="AD7" s="295">
        <f t="shared" ref="AD7:AD19" si="15">AD6+0.05</f>
        <v>0.35</v>
      </c>
      <c r="AE7" s="295">
        <f>$N$24/$AA$24</f>
        <v>0.70576774867879455</v>
      </c>
      <c r="AF7" s="303">
        <f t="shared" si="14"/>
        <v>0.29423225132120545</v>
      </c>
    </row>
    <row r="8" spans="1:32">
      <c r="A8" s="279">
        <v>-15</v>
      </c>
      <c r="B8" s="279">
        <v>-10</v>
      </c>
      <c r="C8" s="28">
        <f t="shared" si="2"/>
        <v>-12.5</v>
      </c>
      <c r="D8" s="28">
        <f t="shared" si="3"/>
        <v>0</v>
      </c>
      <c r="E8" s="281">
        <f t="shared" si="4"/>
        <v>0</v>
      </c>
      <c r="F8" s="138">
        <v>1</v>
      </c>
      <c r="G8" s="282">
        <f t="shared" si="5"/>
        <v>1.6786973812499999</v>
      </c>
      <c r="H8" s="283">
        <f t="shared" si="11"/>
        <v>1</v>
      </c>
      <c r="I8" s="284">
        <f t="shared" si="6"/>
        <v>45000</v>
      </c>
      <c r="J8" s="23">
        <f t="shared" si="12"/>
        <v>0</v>
      </c>
      <c r="K8" s="23">
        <f t="shared" si="7"/>
        <v>0</v>
      </c>
      <c r="L8" s="120">
        <f t="shared" si="8"/>
        <v>0</v>
      </c>
      <c r="M8" s="120">
        <f t="shared" si="8"/>
        <v>0</v>
      </c>
      <c r="N8" s="120">
        <f t="shared" si="8"/>
        <v>0</v>
      </c>
      <c r="O8" s="120">
        <f t="shared" si="8"/>
        <v>0</v>
      </c>
      <c r="P8" s="120">
        <f t="shared" si="8"/>
        <v>0</v>
      </c>
      <c r="Q8" s="120">
        <f t="shared" si="9"/>
        <v>0</v>
      </c>
      <c r="R8" s="120">
        <f t="shared" si="9"/>
        <v>0</v>
      </c>
      <c r="S8" s="120">
        <f t="shared" si="9"/>
        <v>0</v>
      </c>
      <c r="T8" s="120">
        <f t="shared" si="9"/>
        <v>0</v>
      </c>
      <c r="U8" s="120">
        <f t="shared" si="9"/>
        <v>0</v>
      </c>
      <c r="V8" s="120">
        <f t="shared" si="9"/>
        <v>0</v>
      </c>
      <c r="W8" s="120">
        <f t="shared" si="9"/>
        <v>0</v>
      </c>
      <c r="X8" s="120">
        <f t="shared" si="9"/>
        <v>0</v>
      </c>
      <c r="Y8" s="120">
        <f t="shared" si="9"/>
        <v>0</v>
      </c>
      <c r="Z8" s="120">
        <f t="shared" si="9"/>
        <v>0</v>
      </c>
      <c r="AA8" s="120">
        <f t="shared" si="13"/>
        <v>0</v>
      </c>
      <c r="AB8" s="120"/>
      <c r="AD8" s="295">
        <f t="shared" si="15"/>
        <v>0.39999999999999997</v>
      </c>
      <c r="AE8" s="295">
        <f>$O$24/$AA$24</f>
        <v>0.77263464643722957</v>
      </c>
      <c r="AF8" s="303">
        <f t="shared" si="14"/>
        <v>0.22736535356277043</v>
      </c>
    </row>
    <row r="9" spans="1:32">
      <c r="A9" s="28">
        <v>-10</v>
      </c>
      <c r="B9" s="28">
        <v>-5</v>
      </c>
      <c r="C9" s="28">
        <f>(A9+B9)/2</f>
        <v>-7.5</v>
      </c>
      <c r="D9" s="28">
        <f t="shared" si="3"/>
        <v>0</v>
      </c>
      <c r="E9" s="281">
        <f>D9*H9</f>
        <v>0</v>
      </c>
      <c r="F9" s="138">
        <v>1</v>
      </c>
      <c r="G9" s="282">
        <f t="shared" si="5"/>
        <v>1.7670498749999999</v>
      </c>
      <c r="H9" s="283">
        <f>IF(($D$3-C9)&lt;5,0,IF(($D$3-C9)&gt;=($D$3-$C$3),1,MAX(0,MIN(1,(($D$3-8)-C9)/($D$3-($C$3-5))))))</f>
        <v>1</v>
      </c>
      <c r="I9" s="284">
        <f t="shared" si="6"/>
        <v>45000</v>
      </c>
      <c r="J9" s="23">
        <f t="shared" si="12"/>
        <v>0</v>
      </c>
      <c r="K9" s="23">
        <f t="shared" si="7"/>
        <v>0</v>
      </c>
      <c r="L9" s="120">
        <f t="shared" si="8"/>
        <v>0</v>
      </c>
      <c r="M9" s="120">
        <f t="shared" si="8"/>
        <v>0</v>
      </c>
      <c r="N9" s="120">
        <f t="shared" si="8"/>
        <v>0</v>
      </c>
      <c r="O9" s="120">
        <f t="shared" si="8"/>
        <v>0</v>
      </c>
      <c r="P9" s="120">
        <f t="shared" si="8"/>
        <v>0</v>
      </c>
      <c r="Q9" s="120">
        <f t="shared" si="9"/>
        <v>0</v>
      </c>
      <c r="R9" s="120">
        <f t="shared" si="9"/>
        <v>0</v>
      </c>
      <c r="S9" s="120">
        <f t="shared" si="9"/>
        <v>0</v>
      </c>
      <c r="T9" s="120">
        <f t="shared" si="9"/>
        <v>0</v>
      </c>
      <c r="U9" s="120">
        <f t="shared" si="9"/>
        <v>0</v>
      </c>
      <c r="V9" s="120">
        <f t="shared" si="9"/>
        <v>0</v>
      </c>
      <c r="W9" s="120">
        <f t="shared" si="9"/>
        <v>0</v>
      </c>
      <c r="X9" s="120">
        <f t="shared" si="9"/>
        <v>0</v>
      </c>
      <c r="Y9" s="120">
        <f t="shared" si="9"/>
        <v>0</v>
      </c>
      <c r="Z9" s="120">
        <f t="shared" si="9"/>
        <v>0</v>
      </c>
      <c r="AA9" s="120">
        <f t="shared" si="13"/>
        <v>0</v>
      </c>
      <c r="AB9" s="120"/>
      <c r="AD9" s="295">
        <f t="shared" si="15"/>
        <v>0.44999999999999996</v>
      </c>
      <c r="AE9" s="295">
        <f>$P$24/$AA$24</f>
        <v>0.82924896687550631</v>
      </c>
      <c r="AF9" s="303">
        <f t="shared" si="14"/>
        <v>0.17075103312449369</v>
      </c>
    </row>
    <row r="10" spans="1:32">
      <c r="A10" s="28">
        <v>-5</v>
      </c>
      <c r="B10" s="28">
        <v>0</v>
      </c>
      <c r="C10" s="28">
        <f t="shared" ref="C10:C23" si="16">(A10+B10)/2</f>
        <v>-2.5</v>
      </c>
      <c r="D10" s="28">
        <f t="shared" si="3"/>
        <v>1</v>
      </c>
      <c r="E10" s="281">
        <f t="shared" ref="E10:E23" si="17">D10*H10</f>
        <v>1</v>
      </c>
      <c r="F10" s="138">
        <v>1</v>
      </c>
      <c r="G10" s="282">
        <f t="shared" si="5"/>
        <v>1.8600524999999999</v>
      </c>
      <c r="H10" s="283">
        <f t="shared" si="11"/>
        <v>1</v>
      </c>
      <c r="I10" s="284">
        <f t="shared" si="6"/>
        <v>45000</v>
      </c>
      <c r="J10" s="23">
        <f>I10*D10*F10/1000</f>
        <v>45</v>
      </c>
      <c r="K10" s="23">
        <f t="shared" si="7"/>
        <v>7.0905233071386249</v>
      </c>
      <c r="L10" s="120">
        <f t="shared" si="8"/>
        <v>11250</v>
      </c>
      <c r="M10" s="120">
        <f t="shared" si="8"/>
        <v>13500</v>
      </c>
      <c r="N10" s="120">
        <f t="shared" si="8"/>
        <v>15749.999999999998</v>
      </c>
      <c r="O10" s="120">
        <f t="shared" si="8"/>
        <v>18000</v>
      </c>
      <c r="P10" s="120">
        <f t="shared" si="8"/>
        <v>20249.999999999996</v>
      </c>
      <c r="Q10" s="120">
        <f t="shared" ref="Q10:Q18" si="18">IF($D10=0,0,IF($I10&lt;=Q$4,$I10*$D10*$H10,Q$4*$D10*$H10))</f>
        <v>22499.999999999996</v>
      </c>
      <c r="R10" s="120">
        <f t="shared" si="9"/>
        <v>24749.999999999996</v>
      </c>
      <c r="S10" s="120">
        <f t="shared" si="9"/>
        <v>27000</v>
      </c>
      <c r="T10" s="120">
        <f t="shared" si="9"/>
        <v>29250</v>
      </c>
      <c r="U10" s="120">
        <f t="shared" si="9"/>
        <v>31500.000000000004</v>
      </c>
      <c r="V10" s="120">
        <f t="shared" si="9"/>
        <v>33750.000000000007</v>
      </c>
      <c r="W10" s="120">
        <f t="shared" si="9"/>
        <v>36000.000000000007</v>
      </c>
      <c r="X10" s="120">
        <f t="shared" si="9"/>
        <v>38250.000000000007</v>
      </c>
      <c r="Y10" s="120">
        <f t="shared" si="9"/>
        <v>40500.000000000015</v>
      </c>
      <c r="Z10" s="120">
        <f t="shared" si="9"/>
        <v>42750.000000000015</v>
      </c>
      <c r="AA10" s="120">
        <f t="shared" ref="AA10:AA12" si="19">IF($D10=0,0,IF($I10&lt;=AA$4,$I10*$D10*$H10,AA$4*$D10*$H10))</f>
        <v>45000</v>
      </c>
      <c r="AB10" s="120"/>
      <c r="AD10" s="295">
        <f t="shared" si="15"/>
        <v>0.49999999999999994</v>
      </c>
      <c r="AE10" s="295">
        <f>$Q$24/$AA$24</f>
        <v>0.87840461920923851</v>
      </c>
      <c r="AF10" s="303">
        <f t="shared" si="14"/>
        <v>0.12159538079076149</v>
      </c>
    </row>
    <row r="11" spans="1:32">
      <c r="A11" s="28">
        <v>0</v>
      </c>
      <c r="B11" s="28">
        <v>5</v>
      </c>
      <c r="C11" s="28">
        <f t="shared" si="16"/>
        <v>2.5</v>
      </c>
      <c r="D11" s="28">
        <f t="shared" si="3"/>
        <v>31</v>
      </c>
      <c r="E11" s="281">
        <f t="shared" si="17"/>
        <v>31</v>
      </c>
      <c r="F11" s="138">
        <v>1</v>
      </c>
      <c r="G11" s="282">
        <f>G12*0.95</f>
        <v>1.9579499999999999</v>
      </c>
      <c r="H11" s="283">
        <f t="shared" si="11"/>
        <v>1</v>
      </c>
      <c r="I11" s="284">
        <f t="shared" si="6"/>
        <v>45000</v>
      </c>
      <c r="J11" s="23">
        <f>I11*D11*F11/1000</f>
        <v>1395</v>
      </c>
      <c r="K11" s="23">
        <f t="shared" si="7"/>
        <v>208.81591139523252</v>
      </c>
      <c r="L11" s="120">
        <f t="shared" si="8"/>
        <v>348750</v>
      </c>
      <c r="M11" s="120">
        <f t="shared" si="8"/>
        <v>418500</v>
      </c>
      <c r="N11" s="120">
        <f t="shared" si="8"/>
        <v>488249.99999999994</v>
      </c>
      <c r="O11" s="120">
        <f t="shared" si="8"/>
        <v>558000</v>
      </c>
      <c r="P11" s="120">
        <f t="shared" si="8"/>
        <v>627749.99999999988</v>
      </c>
      <c r="Q11" s="120">
        <f t="shared" si="18"/>
        <v>697499.99999999988</v>
      </c>
      <c r="R11" s="120">
        <f t="shared" si="9"/>
        <v>767249.99999999988</v>
      </c>
      <c r="S11" s="120">
        <f t="shared" si="9"/>
        <v>837000</v>
      </c>
      <c r="T11" s="120">
        <f t="shared" si="9"/>
        <v>906750</v>
      </c>
      <c r="U11" s="120">
        <f t="shared" si="9"/>
        <v>976500.00000000012</v>
      </c>
      <c r="V11" s="120">
        <f t="shared" si="9"/>
        <v>1046250.0000000002</v>
      </c>
      <c r="W11" s="120">
        <f t="shared" si="9"/>
        <v>1116000.0000000002</v>
      </c>
      <c r="X11" s="120">
        <f t="shared" si="9"/>
        <v>1185750.0000000002</v>
      </c>
      <c r="Y11" s="120">
        <f t="shared" si="9"/>
        <v>1255500.0000000005</v>
      </c>
      <c r="Z11" s="120">
        <f t="shared" si="9"/>
        <v>1325250.0000000005</v>
      </c>
      <c r="AA11" s="120">
        <f t="shared" si="19"/>
        <v>1395000</v>
      </c>
      <c r="AB11" s="120"/>
      <c r="AD11" s="295">
        <f t="shared" si="15"/>
        <v>0.54999999999999993</v>
      </c>
      <c r="AE11" s="295">
        <f>$R$24/$AA$24</f>
        <v>0.92027882272660333</v>
      </c>
      <c r="AF11" s="303">
        <f t="shared" si="14"/>
        <v>7.9721177273396671E-2</v>
      </c>
    </row>
    <row r="12" spans="1:32">
      <c r="A12" s="28">
        <v>5</v>
      </c>
      <c r="B12" s="28">
        <v>10</v>
      </c>
      <c r="C12" s="28">
        <f t="shared" si="16"/>
        <v>7.5</v>
      </c>
      <c r="D12" s="28">
        <f t="shared" si="3"/>
        <v>64</v>
      </c>
      <c r="E12" s="281">
        <f t="shared" si="17"/>
        <v>49.12676056338028</v>
      </c>
      <c r="F12" s="138">
        <v>1</v>
      </c>
      <c r="G12" s="282">
        <f>cop_5</f>
        <v>2.0609999999999999</v>
      </c>
      <c r="H12" s="283">
        <f t="shared" si="11"/>
        <v>0.76760563380281688</v>
      </c>
      <c r="I12" s="284">
        <f t="shared" si="6"/>
        <v>34542.25352112676</v>
      </c>
      <c r="J12" s="23">
        <f t="shared" si="12"/>
        <v>2210.7042253521126</v>
      </c>
      <c r="K12" s="23">
        <f t="shared" si="7"/>
        <v>314.37183280292703</v>
      </c>
      <c r="L12" s="120">
        <f t="shared" si="8"/>
        <v>552676.05633802817</v>
      </c>
      <c r="M12" s="120">
        <f t="shared" si="8"/>
        <v>663211.26760563382</v>
      </c>
      <c r="N12" s="120">
        <f t="shared" si="8"/>
        <v>773746.47887323936</v>
      </c>
      <c r="O12" s="120">
        <f t="shared" si="8"/>
        <v>884281.69014084502</v>
      </c>
      <c r="P12" s="120">
        <f t="shared" si="8"/>
        <v>994816.90140845045</v>
      </c>
      <c r="Q12" s="120">
        <f t="shared" si="18"/>
        <v>1105352.1126760561</v>
      </c>
      <c r="R12" s="120">
        <f t="shared" si="9"/>
        <v>1215887.3239436618</v>
      </c>
      <c r="S12" s="120">
        <f t="shared" si="9"/>
        <v>1326422.5352112676</v>
      </c>
      <c r="T12" s="120">
        <f t="shared" si="9"/>
        <v>1436957.7464788733</v>
      </c>
      <c r="U12" s="120">
        <f t="shared" si="9"/>
        <v>1547492.957746479</v>
      </c>
      <c r="V12" s="120">
        <f t="shared" si="9"/>
        <v>1658028.1690140849</v>
      </c>
      <c r="W12" s="120">
        <f t="shared" si="9"/>
        <v>1696949.0180519738</v>
      </c>
      <c r="X12" s="120">
        <f t="shared" si="9"/>
        <v>1696949.0180519738</v>
      </c>
      <c r="Y12" s="120">
        <f t="shared" si="9"/>
        <v>1696949.0180519738</v>
      </c>
      <c r="Z12" s="120">
        <f t="shared" si="9"/>
        <v>1696949.0180519738</v>
      </c>
      <c r="AA12" s="120">
        <f t="shared" si="19"/>
        <v>1696949.0180519738</v>
      </c>
      <c r="AB12" s="120"/>
      <c r="AD12" s="295">
        <f t="shared" si="15"/>
        <v>0.6</v>
      </c>
      <c r="AE12" s="295">
        <f>$S$24/$AA$24</f>
        <v>0.95120522062174817</v>
      </c>
      <c r="AF12" s="303">
        <f t="shared" si="14"/>
        <v>4.8794779378251829E-2</v>
      </c>
    </row>
    <row r="13" spans="1:32">
      <c r="A13" s="28">
        <v>10</v>
      </c>
      <c r="B13" s="28">
        <v>15</v>
      </c>
      <c r="C13" s="28">
        <f t="shared" si="16"/>
        <v>12.5</v>
      </c>
      <c r="D13" s="28">
        <f t="shared" si="3"/>
        <v>220</v>
      </c>
      <c r="E13" s="281">
        <f>D13*H13</f>
        <v>153.38028169014083</v>
      </c>
      <c r="F13" s="285">
        <f>F12-($F$12-$F$23)/11</f>
        <v>0.92727272727272725</v>
      </c>
      <c r="G13" s="282">
        <f>(G12+G14)/2</f>
        <v>2.286</v>
      </c>
      <c r="H13" s="283">
        <f>IF(($D$3-C13)&lt;5,0,IF(($D$3-C13)&gt;=($D$3-$C$3),1,MAX(0,MIN(1,(($D$3-8)-C13)/($D$3-($C$3-5))))))</f>
        <v>0.69718309859154926</v>
      </c>
      <c r="I13" s="284">
        <f>H13*heat_load</f>
        <v>31373.239436619715</v>
      </c>
      <c r="J13" s="23">
        <f>I13*D13*F13/1000</f>
        <v>6400.1408450704221</v>
      </c>
      <c r="K13" s="23">
        <f t="shared" si="7"/>
        <v>820.54855092653565</v>
      </c>
      <c r="L13" s="120">
        <f t="shared" si="8"/>
        <v>1725528.1690140844</v>
      </c>
      <c r="M13" s="120">
        <f t="shared" si="8"/>
        <v>2070633.8028169014</v>
      </c>
      <c r="N13" s="120">
        <f t="shared" si="8"/>
        <v>2415739.4366197176</v>
      </c>
      <c r="O13" s="120">
        <f t="shared" si="8"/>
        <v>2760845.0704225348</v>
      </c>
      <c r="P13" s="120">
        <f t="shared" si="8"/>
        <v>3105950.7042253511</v>
      </c>
      <c r="Q13" s="120">
        <f t="shared" si="18"/>
        <v>3451056.3380281683</v>
      </c>
      <c r="R13" s="120">
        <f t="shared" si="9"/>
        <v>3796161.971830985</v>
      </c>
      <c r="S13" s="120">
        <f t="shared" si="9"/>
        <v>4141267.6056338027</v>
      </c>
      <c r="T13" s="120">
        <f t="shared" si="9"/>
        <v>4486373.2394366199</v>
      </c>
      <c r="U13" s="120">
        <f t="shared" si="9"/>
        <v>4812036.3023209674</v>
      </c>
      <c r="V13" s="120">
        <f t="shared" si="9"/>
        <v>4812036.3023209674</v>
      </c>
      <c r="W13" s="120">
        <f t="shared" si="9"/>
        <v>4812036.3023209674</v>
      </c>
      <c r="X13" s="120">
        <f t="shared" si="9"/>
        <v>4812036.3023209674</v>
      </c>
      <c r="Y13" s="120">
        <f t="shared" si="9"/>
        <v>4812036.3023209674</v>
      </c>
      <c r="Z13" s="120">
        <f t="shared" si="9"/>
        <v>4812036.3023209674</v>
      </c>
      <c r="AA13" s="120">
        <f>IF($D13=0,0,IF($I13&lt;=AA$4,$I13*$D13*$H13,AA$4*$D13*$H13))</f>
        <v>4812036.3023209674</v>
      </c>
      <c r="AB13" s="120"/>
      <c r="AD13" s="295">
        <f t="shared" si="15"/>
        <v>0.65</v>
      </c>
      <c r="AE13" s="295">
        <f>$T$24/$AA$24</f>
        <v>0.97298656216157975</v>
      </c>
      <c r="AF13" s="303">
        <f t="shared" si="14"/>
        <v>2.7013437838420251E-2</v>
      </c>
    </row>
    <row r="14" spans="1:32">
      <c r="A14" s="28">
        <v>15</v>
      </c>
      <c r="B14" s="28">
        <v>20</v>
      </c>
      <c r="C14" s="28">
        <f t="shared" si="16"/>
        <v>17.5</v>
      </c>
      <c r="D14" s="28">
        <f t="shared" si="3"/>
        <v>465</v>
      </c>
      <c r="E14" s="281">
        <f>D14*H14</f>
        <v>291.44366197183103</v>
      </c>
      <c r="F14" s="285">
        <f t="shared" ref="F14:F22" si="20">F13-($F$12-$F$23)/11</f>
        <v>0.8545454545454545</v>
      </c>
      <c r="G14" s="282">
        <f>cop_17</f>
        <v>2.5110000000000001</v>
      </c>
      <c r="H14" s="283">
        <f t="shared" si="11"/>
        <v>0.62676056338028174</v>
      </c>
      <c r="I14" s="284">
        <f t="shared" si="6"/>
        <v>28204.225352112677</v>
      </c>
      <c r="J14" s="23">
        <f>I14*D14*F14/1000</f>
        <v>11207.333546734955</v>
      </c>
      <c r="K14" s="23">
        <f t="shared" si="7"/>
        <v>1308.1169170695778</v>
      </c>
      <c r="L14" s="120">
        <f t="shared" si="8"/>
        <v>3278741.1971830986</v>
      </c>
      <c r="M14" s="120">
        <f t="shared" si="8"/>
        <v>3934489.4366197186</v>
      </c>
      <c r="N14" s="120">
        <f t="shared" si="8"/>
        <v>4590237.6760563375</v>
      </c>
      <c r="O14" s="120">
        <f t="shared" si="8"/>
        <v>5245985.9154929584</v>
      </c>
      <c r="P14" s="120">
        <f t="shared" si="8"/>
        <v>5901734.1549295764</v>
      </c>
      <c r="Q14" s="120">
        <f t="shared" si="18"/>
        <v>6557482.3943661964</v>
      </c>
      <c r="R14" s="120">
        <f t="shared" si="9"/>
        <v>7213230.6338028163</v>
      </c>
      <c r="S14" s="120">
        <f t="shared" si="9"/>
        <v>7868978.8732394371</v>
      </c>
      <c r="T14" s="120">
        <f t="shared" si="9"/>
        <v>8219942.7196984738</v>
      </c>
      <c r="U14" s="120">
        <f t="shared" si="9"/>
        <v>8219942.7196984738</v>
      </c>
      <c r="V14" s="120">
        <f t="shared" si="9"/>
        <v>8219942.7196984738</v>
      </c>
      <c r="W14" s="120">
        <f t="shared" si="9"/>
        <v>8219942.7196984738</v>
      </c>
      <c r="X14" s="120">
        <f t="shared" si="9"/>
        <v>8219942.7196984738</v>
      </c>
      <c r="Y14" s="120">
        <f t="shared" si="9"/>
        <v>8219942.7196984738</v>
      </c>
      <c r="Z14" s="120">
        <f t="shared" si="9"/>
        <v>8219942.7196984738</v>
      </c>
      <c r="AA14" s="120">
        <f>IF($D14=0,0,IF($I14&lt;=AA$4,$I14*$D14*$H14,AA$4*$D14*$H14))</f>
        <v>8219942.7196984738</v>
      </c>
      <c r="AB14" s="120"/>
      <c r="AD14" s="295">
        <f t="shared" si="15"/>
        <v>0.70000000000000007</v>
      </c>
      <c r="AE14" s="295">
        <f>$U$24/$AA$24</f>
        <v>0.9855852203362675</v>
      </c>
      <c r="AF14" s="303">
        <f t="shared" si="14"/>
        <v>1.4414779663732502E-2</v>
      </c>
    </row>
    <row r="15" spans="1:32">
      <c r="A15" s="28">
        <v>20</v>
      </c>
      <c r="B15" s="28">
        <v>25</v>
      </c>
      <c r="C15" s="28">
        <f t="shared" si="16"/>
        <v>22.5</v>
      </c>
      <c r="D15" s="28">
        <f t="shared" si="3"/>
        <v>404</v>
      </c>
      <c r="E15" s="281">
        <f t="shared" si="17"/>
        <v>224.7605633802817</v>
      </c>
      <c r="F15" s="285">
        <f t="shared" si="20"/>
        <v>0.78181818181818175</v>
      </c>
      <c r="G15" s="282">
        <f>($G$20-$G$14)/6+G14</f>
        <v>2.7175000000000002</v>
      </c>
      <c r="H15" s="283">
        <f t="shared" si="11"/>
        <v>0.55633802816901412</v>
      </c>
      <c r="I15" s="284">
        <f t="shared" si="6"/>
        <v>25035.211267605635</v>
      </c>
      <c r="J15" s="23">
        <f t="shared" si="12"/>
        <v>7907.4852752880915</v>
      </c>
      <c r="K15" s="23">
        <f t="shared" si="7"/>
        <v>852.82479125982013</v>
      </c>
      <c r="L15" s="120">
        <f t="shared" si="8"/>
        <v>2528556.3380281692</v>
      </c>
      <c r="M15" s="120">
        <f t="shared" si="8"/>
        <v>3034267.6056338032</v>
      </c>
      <c r="N15" s="120">
        <f t="shared" si="8"/>
        <v>3539978.8732394362</v>
      </c>
      <c r="O15" s="120">
        <f t="shared" si="8"/>
        <v>4045690.1408450706</v>
      </c>
      <c r="P15" s="120">
        <f t="shared" si="8"/>
        <v>4551401.4084507031</v>
      </c>
      <c r="Q15" s="120">
        <f t="shared" si="18"/>
        <v>5057112.6760563375</v>
      </c>
      <c r="R15" s="120">
        <f t="shared" si="9"/>
        <v>5562823.943661971</v>
      </c>
      <c r="S15" s="120">
        <f t="shared" si="9"/>
        <v>5626928.1888514189</v>
      </c>
      <c r="T15" s="120">
        <f t="shared" si="9"/>
        <v>5626928.1888514189</v>
      </c>
      <c r="U15" s="120">
        <f t="shared" si="9"/>
        <v>5626928.1888514189</v>
      </c>
      <c r="V15" s="120">
        <f t="shared" si="9"/>
        <v>5626928.1888514189</v>
      </c>
      <c r="W15" s="120">
        <f t="shared" si="9"/>
        <v>5626928.1888514189</v>
      </c>
      <c r="X15" s="120">
        <f t="shared" si="9"/>
        <v>5626928.1888514189</v>
      </c>
      <c r="Y15" s="120">
        <f t="shared" si="9"/>
        <v>5626928.1888514189</v>
      </c>
      <c r="Z15" s="120">
        <f t="shared" si="9"/>
        <v>5626928.1888514189</v>
      </c>
      <c r="AA15" s="120">
        <f>IF($D15=0,0,IF($I15&lt;=AA$4,$I15*$D15*$H15,AA$4*$D15*$H15))</f>
        <v>5626928.1888514189</v>
      </c>
      <c r="AB15" s="120"/>
      <c r="AD15" s="295">
        <f t="shared" si="15"/>
        <v>0.75000000000000011</v>
      </c>
      <c r="AE15" s="295">
        <f>$V$24/$AA$24</f>
        <v>0.99011042014227346</v>
      </c>
      <c r="AF15" s="303">
        <f t="shared" si="14"/>
        <v>9.8895798577265381E-3</v>
      </c>
    </row>
    <row r="16" spans="1:32">
      <c r="A16" s="28">
        <v>25</v>
      </c>
      <c r="B16" s="28">
        <v>30</v>
      </c>
      <c r="C16" s="28">
        <f t="shared" si="16"/>
        <v>27.5</v>
      </c>
      <c r="D16" s="28">
        <f t="shared" si="3"/>
        <v>374</v>
      </c>
      <c r="E16" s="281">
        <f t="shared" si="17"/>
        <v>181.73239436619718</v>
      </c>
      <c r="F16" s="285">
        <f t="shared" si="20"/>
        <v>0.70909090909090899</v>
      </c>
      <c r="G16" s="282">
        <f>($G$20-$G$14)/6+G15</f>
        <v>2.9240000000000004</v>
      </c>
      <c r="H16" s="283">
        <f t="shared" si="11"/>
        <v>0.4859154929577465</v>
      </c>
      <c r="I16" s="284">
        <f>H16*heat_load</f>
        <v>21866.197183098593</v>
      </c>
      <c r="J16" s="23">
        <f>I16*D16*F16/1000</f>
        <v>5798.9154929577462</v>
      </c>
      <c r="K16" s="23">
        <f t="shared" si="7"/>
        <v>581.24655125606273</v>
      </c>
      <c r="L16" s="120">
        <f t="shared" si="8"/>
        <v>2044489.4366197183</v>
      </c>
      <c r="M16" s="120">
        <f t="shared" si="8"/>
        <v>2453387.323943662</v>
      </c>
      <c r="N16" s="120">
        <f t="shared" si="8"/>
        <v>2862285.2112676054</v>
      </c>
      <c r="O16" s="120">
        <f t="shared" si="8"/>
        <v>3271183.0985915493</v>
      </c>
      <c r="P16" s="120">
        <f t="shared" si="8"/>
        <v>3680080.9859154928</v>
      </c>
      <c r="Q16" s="120">
        <f t="shared" si="18"/>
        <v>3973796.3697679038</v>
      </c>
      <c r="R16" s="120">
        <f t="shared" si="9"/>
        <v>3973796.3697679038</v>
      </c>
      <c r="S16" s="120">
        <f t="shared" si="9"/>
        <v>3973796.3697679038</v>
      </c>
      <c r="T16" s="120">
        <f t="shared" si="9"/>
        <v>3973796.3697679038</v>
      </c>
      <c r="U16" s="120">
        <f t="shared" si="9"/>
        <v>3973796.3697679038</v>
      </c>
      <c r="V16" s="120">
        <f t="shared" si="9"/>
        <v>3973796.3697679038</v>
      </c>
      <c r="W16" s="120">
        <f t="shared" si="9"/>
        <v>3973796.3697679038</v>
      </c>
      <c r="X16" s="120">
        <f t="shared" si="9"/>
        <v>3973796.3697679038</v>
      </c>
      <c r="Y16" s="120">
        <f t="shared" si="9"/>
        <v>3973796.3697679038</v>
      </c>
      <c r="Z16" s="120">
        <f t="shared" si="9"/>
        <v>3973796.3697679038</v>
      </c>
      <c r="AA16" s="120">
        <f t="shared" ref="AA16:AA22" si="21">IF($D16=0,0,IF($I16&lt;=AA$4,$I16*$D16*$H16,AA$4*$D16*$H16))</f>
        <v>3973796.3697679038</v>
      </c>
      <c r="AB16" s="120"/>
      <c r="AD16" s="295">
        <f t="shared" si="15"/>
        <v>0.80000000000000016</v>
      </c>
      <c r="AE16" s="295">
        <f>$W$24/$AA$24</f>
        <v>0.99286024030607944</v>
      </c>
      <c r="AF16" s="303">
        <f t="shared" si="14"/>
        <v>7.1397596939205554E-3</v>
      </c>
    </row>
    <row r="17" spans="1:32">
      <c r="A17" s="28">
        <v>30</v>
      </c>
      <c r="B17" s="28">
        <v>35</v>
      </c>
      <c r="C17" s="28">
        <f t="shared" si="16"/>
        <v>32.5</v>
      </c>
      <c r="D17" s="28">
        <f t="shared" si="3"/>
        <v>641</v>
      </c>
      <c r="E17" s="281">
        <f t="shared" si="17"/>
        <v>266.33098591549293</v>
      </c>
      <c r="F17" s="285">
        <f t="shared" si="20"/>
        <v>0.63636363636363624</v>
      </c>
      <c r="G17" s="282">
        <f>($G$20-$G$14)/6+G16</f>
        <v>3.1305000000000005</v>
      </c>
      <c r="H17" s="283">
        <f t="shared" si="11"/>
        <v>0.41549295774647887</v>
      </c>
      <c r="I17" s="284">
        <f t="shared" si="6"/>
        <v>18697.183098591548</v>
      </c>
      <c r="J17" s="23">
        <f t="shared" si="12"/>
        <v>7626.7509603072967</v>
      </c>
      <c r="K17" s="23">
        <f>IF(AND($AS$30="yes",B17&lt;=$AS$31),0,J17/3.412/G17+$AG$18*D17*H17/2)</f>
        <v>714.03061774768037</v>
      </c>
      <c r="L17" s="120">
        <f t="shared" si="8"/>
        <v>2996223.5915492959</v>
      </c>
      <c r="M17" s="120">
        <f t="shared" si="8"/>
        <v>3595468.3098591547</v>
      </c>
      <c r="N17" s="120">
        <f t="shared" si="8"/>
        <v>4194713.0281690136</v>
      </c>
      <c r="O17" s="120">
        <f t="shared" si="8"/>
        <v>4793957.7464788733</v>
      </c>
      <c r="P17" s="120">
        <f t="shared" si="8"/>
        <v>4979639.2084903782</v>
      </c>
      <c r="Q17" s="120">
        <f t="shared" si="18"/>
        <v>4979639.2084903782</v>
      </c>
      <c r="R17" s="120">
        <f t="shared" si="9"/>
        <v>4979639.2084903782</v>
      </c>
      <c r="S17" s="120">
        <f t="shared" si="9"/>
        <v>4979639.2084903782</v>
      </c>
      <c r="T17" s="120">
        <f t="shared" si="9"/>
        <v>4979639.2084903782</v>
      </c>
      <c r="U17" s="120">
        <f t="shared" si="9"/>
        <v>4979639.2084903782</v>
      </c>
      <c r="V17" s="120">
        <f t="shared" si="9"/>
        <v>4979639.2084903782</v>
      </c>
      <c r="W17" s="120">
        <f t="shared" si="9"/>
        <v>4979639.2084903782</v>
      </c>
      <c r="X17" s="120">
        <f t="shared" si="9"/>
        <v>4979639.2084903782</v>
      </c>
      <c r="Y17" s="120">
        <f t="shared" si="9"/>
        <v>4979639.2084903782</v>
      </c>
      <c r="Z17" s="120">
        <f t="shared" si="9"/>
        <v>4979639.2084903782</v>
      </c>
      <c r="AA17" s="120">
        <f t="shared" si="21"/>
        <v>4979639.2084903782</v>
      </c>
      <c r="AB17" s="120"/>
      <c r="AD17" s="295">
        <f t="shared" si="15"/>
        <v>0.8500000000000002</v>
      </c>
      <c r="AE17" s="295">
        <f>$X$24/$AA$24</f>
        <v>0.99464518022955961</v>
      </c>
      <c r="AF17" s="303">
        <f t="shared" si="14"/>
        <v>5.3548197704403888E-3</v>
      </c>
    </row>
    <row r="18" spans="1:32">
      <c r="A18" s="28">
        <v>35</v>
      </c>
      <c r="B18" s="28">
        <v>40</v>
      </c>
      <c r="C18" s="28">
        <f t="shared" si="16"/>
        <v>37.5</v>
      </c>
      <c r="D18" s="28">
        <f t="shared" si="3"/>
        <v>941</v>
      </c>
      <c r="E18" s="281">
        <f t="shared" si="17"/>
        <v>324.71126760563379</v>
      </c>
      <c r="F18" s="285">
        <f t="shared" si="20"/>
        <v>0.56363636363636349</v>
      </c>
      <c r="G18" s="282">
        <f>($G$20-$G$14)/6+G17</f>
        <v>3.3370000000000006</v>
      </c>
      <c r="H18" s="283">
        <f t="shared" si="11"/>
        <v>0.34507042253521125</v>
      </c>
      <c r="I18" s="284">
        <f t="shared" si="6"/>
        <v>15528.169014084506</v>
      </c>
      <c r="J18" s="23">
        <f t="shared" si="12"/>
        <v>8235.8585147247086</v>
      </c>
      <c r="K18" s="23">
        <f>IF(AND($AS$30="yes",B18&lt;=$AS$31),0,J18/3.412/G18+$AG$18*D18*H18/2)</f>
        <v>723.34194239133319</v>
      </c>
      <c r="L18" s="120">
        <f t="shared" si="8"/>
        <v>3653001.7605633801</v>
      </c>
      <c r="M18" s="120">
        <f t="shared" si="8"/>
        <v>4383602.1126760561</v>
      </c>
      <c r="N18" s="120">
        <f t="shared" si="8"/>
        <v>5042171.4441579049</v>
      </c>
      <c r="O18" s="120">
        <f t="shared" si="8"/>
        <v>5042171.4441579049</v>
      </c>
      <c r="P18" s="120">
        <f t="shared" si="8"/>
        <v>5042171.4441579049</v>
      </c>
      <c r="Q18" s="120">
        <f t="shared" si="18"/>
        <v>5042171.4441579049</v>
      </c>
      <c r="R18" s="120">
        <f t="shared" si="9"/>
        <v>5042171.4441579049</v>
      </c>
      <c r="S18" s="120">
        <f t="shared" si="9"/>
        <v>5042171.4441579049</v>
      </c>
      <c r="T18" s="120">
        <f t="shared" si="9"/>
        <v>5042171.4441579049</v>
      </c>
      <c r="U18" s="120">
        <f t="shared" si="9"/>
        <v>5042171.4441579049</v>
      </c>
      <c r="V18" s="120">
        <f t="shared" si="9"/>
        <v>5042171.4441579049</v>
      </c>
      <c r="W18" s="120">
        <f t="shared" si="9"/>
        <v>5042171.4441579049</v>
      </c>
      <c r="X18" s="120">
        <f t="shared" si="9"/>
        <v>5042171.4441579049</v>
      </c>
      <c r="Y18" s="120">
        <f t="shared" si="9"/>
        <v>5042171.4441579049</v>
      </c>
      <c r="Z18" s="120">
        <f t="shared" si="9"/>
        <v>5042171.4441579049</v>
      </c>
      <c r="AA18" s="120">
        <f t="shared" si="21"/>
        <v>5042171.4441579049</v>
      </c>
      <c r="AB18" s="120"/>
      <c r="AD18" s="295">
        <f t="shared" si="15"/>
        <v>0.90000000000000024</v>
      </c>
      <c r="AE18" s="295">
        <f>$Y$24/$AA$24</f>
        <v>0.99643012015303989</v>
      </c>
      <c r="AF18" s="303">
        <f t="shared" si="14"/>
        <v>3.5698798469601112E-3</v>
      </c>
    </row>
    <row r="19" spans="1:32">
      <c r="A19" s="28">
        <v>40</v>
      </c>
      <c r="B19" s="28">
        <v>45</v>
      </c>
      <c r="C19" s="28">
        <f t="shared" si="16"/>
        <v>42.5</v>
      </c>
      <c r="D19" s="28">
        <f t="shared" si="3"/>
        <v>783</v>
      </c>
      <c r="E19" s="281">
        <f t="shared" si="17"/>
        <v>215.0492957746479</v>
      </c>
      <c r="F19" s="285">
        <f t="shared" si="20"/>
        <v>0.49090909090909074</v>
      </c>
      <c r="G19" s="282">
        <f>($G$20-$G$14)/6+G18</f>
        <v>3.5435000000000008</v>
      </c>
      <c r="H19" s="283">
        <f t="shared" si="11"/>
        <v>0.27464788732394368</v>
      </c>
      <c r="I19" s="284">
        <f t="shared" si="6"/>
        <v>12359.154929577466</v>
      </c>
      <c r="J19" s="23">
        <f t="shared" si="12"/>
        <v>4750.634443021765</v>
      </c>
      <c r="K19" s="23">
        <f>IF(AND($AS$30="yes",B19&lt;=$AS$31),0,J19/3.412/G19+$AG$18*D19*H19/2)</f>
        <v>392.92544487047383</v>
      </c>
      <c r="L19" s="120">
        <f t="shared" si="8"/>
        <v>2419304.5774647892</v>
      </c>
      <c r="M19" s="120">
        <f t="shared" si="8"/>
        <v>2657827.5639754017</v>
      </c>
      <c r="N19" s="120">
        <f t="shared" si="8"/>
        <v>2657827.5639754017</v>
      </c>
      <c r="O19" s="120">
        <f t="shared" si="8"/>
        <v>2657827.5639754017</v>
      </c>
      <c r="P19" s="120">
        <f t="shared" si="8"/>
        <v>2657827.5639754017</v>
      </c>
      <c r="Q19" s="120">
        <f t="shared" ref="Q19:Z23" si="22">IF($D19=0,0,IF($I19&lt;=Q$4,$I19*$D19*$H19,Q$4*$D19*$H19))</f>
        <v>2657827.5639754017</v>
      </c>
      <c r="R19" s="120">
        <f t="shared" si="9"/>
        <v>2657827.5639754017</v>
      </c>
      <c r="S19" s="120">
        <f t="shared" si="9"/>
        <v>2657827.5639754017</v>
      </c>
      <c r="T19" s="120">
        <f t="shared" si="9"/>
        <v>2657827.5639754017</v>
      </c>
      <c r="U19" s="120">
        <f t="shared" si="9"/>
        <v>2657827.5639754017</v>
      </c>
      <c r="V19" s="120">
        <f t="shared" si="9"/>
        <v>2657827.5639754017</v>
      </c>
      <c r="W19" s="120">
        <f t="shared" si="9"/>
        <v>2657827.5639754017</v>
      </c>
      <c r="X19" s="120">
        <f t="shared" si="9"/>
        <v>2657827.5639754017</v>
      </c>
      <c r="Y19" s="120">
        <f t="shared" si="9"/>
        <v>2657827.5639754017</v>
      </c>
      <c r="Z19" s="120">
        <f t="shared" si="9"/>
        <v>2657827.5639754017</v>
      </c>
      <c r="AA19" s="120">
        <f t="shared" si="21"/>
        <v>2657827.5639754017</v>
      </c>
      <c r="AB19" s="120"/>
      <c r="AD19" s="295">
        <f t="shared" si="15"/>
        <v>0.95000000000000029</v>
      </c>
      <c r="AE19" s="295">
        <f>$Z$24/$AA$24</f>
        <v>0.99821506007652006</v>
      </c>
      <c r="AF19" s="303">
        <f t="shared" si="14"/>
        <v>1.7849399234799446E-3</v>
      </c>
    </row>
    <row r="20" spans="1:32">
      <c r="A20" s="28">
        <v>45</v>
      </c>
      <c r="B20" s="28">
        <v>50</v>
      </c>
      <c r="C20" s="28">
        <f t="shared" si="16"/>
        <v>47.5</v>
      </c>
      <c r="D20" s="28">
        <f t="shared" si="3"/>
        <v>696</v>
      </c>
      <c r="E20" s="281">
        <f t="shared" si="17"/>
        <v>142.14084507042253</v>
      </c>
      <c r="F20" s="285">
        <f t="shared" si="20"/>
        <v>0.41818181818181799</v>
      </c>
      <c r="G20" s="282">
        <f>cop_47</f>
        <v>3.75</v>
      </c>
      <c r="H20" s="283">
        <f t="shared" si="11"/>
        <v>0.20422535211267606</v>
      </c>
      <c r="I20" s="284">
        <f t="shared" si="6"/>
        <v>9190.1408450704221</v>
      </c>
      <c r="J20" s="23">
        <f t="shared" si="12"/>
        <v>2674.8322663252229</v>
      </c>
      <c r="K20" s="23">
        <f>IF(AND($AS$30="yes",B20&lt;=$AS$31),0,J20/3.412/G20)</f>
        <v>209.05293210826284</v>
      </c>
      <c r="L20" s="120">
        <f t="shared" si="8"/>
        <v>1306294.3860345169</v>
      </c>
      <c r="M20" s="120">
        <f t="shared" si="8"/>
        <v>1306294.3860345169</v>
      </c>
      <c r="N20" s="120">
        <f t="shared" si="8"/>
        <v>1306294.3860345169</v>
      </c>
      <c r="O20" s="120">
        <f t="shared" si="8"/>
        <v>1306294.3860345169</v>
      </c>
      <c r="P20" s="120">
        <f t="shared" si="8"/>
        <v>1306294.3860345169</v>
      </c>
      <c r="Q20" s="120">
        <f t="shared" si="22"/>
        <v>1306294.3860345169</v>
      </c>
      <c r="R20" s="120">
        <f t="shared" si="9"/>
        <v>1306294.3860345169</v>
      </c>
      <c r="S20" s="120">
        <f t="shared" si="9"/>
        <v>1306294.3860345169</v>
      </c>
      <c r="T20" s="120">
        <f t="shared" si="9"/>
        <v>1306294.3860345169</v>
      </c>
      <c r="U20" s="120">
        <f t="shared" si="9"/>
        <v>1306294.3860345169</v>
      </c>
      <c r="V20" s="120">
        <f t="shared" si="9"/>
        <v>1306294.3860345169</v>
      </c>
      <c r="W20" s="120">
        <f t="shared" si="9"/>
        <v>1306294.3860345169</v>
      </c>
      <c r="X20" s="120">
        <f t="shared" si="9"/>
        <v>1306294.3860345169</v>
      </c>
      <c r="Y20" s="120">
        <f t="shared" si="9"/>
        <v>1306294.3860345169</v>
      </c>
      <c r="Z20" s="120">
        <f t="shared" si="9"/>
        <v>1306294.3860345169</v>
      </c>
      <c r="AA20" s="120">
        <f t="shared" si="21"/>
        <v>1306294.3860345169</v>
      </c>
      <c r="AB20" s="120"/>
      <c r="AD20" s="295">
        <f>AD19+0.05</f>
        <v>1.0000000000000002</v>
      </c>
      <c r="AE20" s="295">
        <f>$AA$24/$AA$24</f>
        <v>1</v>
      </c>
      <c r="AF20" s="303">
        <f t="shared" si="14"/>
        <v>0</v>
      </c>
    </row>
    <row r="21" spans="1:32">
      <c r="A21" s="28">
        <v>50</v>
      </c>
      <c r="B21" s="28">
        <v>55</v>
      </c>
      <c r="C21" s="28">
        <f t="shared" si="16"/>
        <v>52.5</v>
      </c>
      <c r="D21" s="28">
        <f t="shared" si="3"/>
        <v>565</v>
      </c>
      <c r="E21" s="281">
        <f t="shared" si="17"/>
        <v>75.598591549295762</v>
      </c>
      <c r="F21" s="285">
        <f t="shared" si="20"/>
        <v>0.34545454545454524</v>
      </c>
      <c r="G21" s="282">
        <f>G20</f>
        <v>3.75</v>
      </c>
      <c r="H21" s="283">
        <f t="shared" si="11"/>
        <v>0.13380281690140844</v>
      </c>
      <c r="I21" s="284">
        <f t="shared" si="6"/>
        <v>6021.1267605633793</v>
      </c>
      <c r="J21" s="23">
        <f t="shared" si="12"/>
        <v>1175.2144686299607</v>
      </c>
      <c r="K21" s="23">
        <f t="shared" ref="K21:K22" si="23">IF(AND($AS$30="yes",B21&lt;=$AS$31),0,J21/3.412/G21)</f>
        <v>91.849509076198572</v>
      </c>
      <c r="L21" s="120">
        <f t="shared" si="8"/>
        <v>455188.70263836533</v>
      </c>
      <c r="M21" s="120">
        <f t="shared" si="8"/>
        <v>455188.70263836533</v>
      </c>
      <c r="N21" s="120">
        <f t="shared" si="8"/>
        <v>455188.70263836533</v>
      </c>
      <c r="O21" s="120">
        <f t="shared" si="8"/>
        <v>455188.70263836533</v>
      </c>
      <c r="P21" s="120">
        <f t="shared" si="8"/>
        <v>455188.70263836533</v>
      </c>
      <c r="Q21" s="120">
        <f t="shared" si="22"/>
        <v>455188.70263836533</v>
      </c>
      <c r="R21" s="120">
        <f t="shared" si="22"/>
        <v>455188.70263836533</v>
      </c>
      <c r="S21" s="120">
        <f t="shared" si="22"/>
        <v>455188.70263836533</v>
      </c>
      <c r="T21" s="120">
        <f t="shared" si="22"/>
        <v>455188.70263836533</v>
      </c>
      <c r="U21" s="120">
        <f t="shared" si="22"/>
        <v>455188.70263836533</v>
      </c>
      <c r="V21" s="120">
        <f t="shared" si="22"/>
        <v>455188.70263836533</v>
      </c>
      <c r="W21" s="120">
        <f t="shared" si="22"/>
        <v>455188.70263836533</v>
      </c>
      <c r="X21" s="120">
        <f t="shared" si="22"/>
        <v>455188.70263836533</v>
      </c>
      <c r="Y21" s="120">
        <f t="shared" si="22"/>
        <v>455188.70263836533</v>
      </c>
      <c r="Z21" s="120">
        <f t="shared" si="22"/>
        <v>455188.70263836533</v>
      </c>
      <c r="AA21" s="120">
        <f t="shared" si="21"/>
        <v>455188.70263836533</v>
      </c>
      <c r="AB21" s="120"/>
    </row>
    <row r="22" spans="1:32">
      <c r="A22" s="28">
        <v>55</v>
      </c>
      <c r="B22" s="28">
        <v>60</v>
      </c>
      <c r="C22" s="28">
        <f t="shared" si="16"/>
        <v>57.5</v>
      </c>
      <c r="D22" s="28">
        <f t="shared" si="3"/>
        <v>701</v>
      </c>
      <c r="E22" s="281">
        <f t="shared" si="17"/>
        <v>44.429577464788728</v>
      </c>
      <c r="F22" s="285">
        <f t="shared" si="20"/>
        <v>0.27272727272727249</v>
      </c>
      <c r="G22" s="282">
        <f t="shared" ref="G22:G23" si="24">G21</f>
        <v>3.75</v>
      </c>
      <c r="H22" s="283">
        <f t="shared" si="11"/>
        <v>6.3380281690140844E-2</v>
      </c>
      <c r="I22" s="284">
        <f t="shared" si="6"/>
        <v>2852.1126760563379</v>
      </c>
      <c r="J22" s="23">
        <f t="shared" si="12"/>
        <v>545.27208706786121</v>
      </c>
      <c r="K22" s="23">
        <f t="shared" si="23"/>
        <v>42.616028688383054</v>
      </c>
      <c r="L22" s="120">
        <f t="shared" si="8"/>
        <v>126718.16107915096</v>
      </c>
      <c r="M22" s="120">
        <f t="shared" si="8"/>
        <v>126718.16107915096</v>
      </c>
      <c r="N22" s="120">
        <f t="shared" si="8"/>
        <v>126718.16107915096</v>
      </c>
      <c r="O22" s="120">
        <f t="shared" si="8"/>
        <v>126718.16107915096</v>
      </c>
      <c r="P22" s="120">
        <f t="shared" si="8"/>
        <v>126718.16107915096</v>
      </c>
      <c r="Q22" s="120">
        <f>IF($D22=0,0,IF($I22&lt;=Q$4,$I22*$D22*$H22,Q$4*$D22*$H22))</f>
        <v>126718.16107915096</v>
      </c>
      <c r="R22" s="120">
        <f t="shared" si="22"/>
        <v>126718.16107915096</v>
      </c>
      <c r="S22" s="120">
        <f t="shared" si="22"/>
        <v>126718.16107915096</v>
      </c>
      <c r="T22" s="120">
        <f t="shared" si="22"/>
        <v>126718.16107915096</v>
      </c>
      <c r="U22" s="120">
        <f t="shared" si="22"/>
        <v>126718.16107915096</v>
      </c>
      <c r="V22" s="120">
        <f t="shared" si="22"/>
        <v>126718.16107915096</v>
      </c>
      <c r="W22" s="120">
        <f t="shared" si="22"/>
        <v>126718.16107915096</v>
      </c>
      <c r="X22" s="120">
        <f t="shared" si="22"/>
        <v>126718.16107915096</v>
      </c>
      <c r="Y22" s="120">
        <f t="shared" si="22"/>
        <v>126718.16107915096</v>
      </c>
      <c r="Z22" s="120">
        <f t="shared" si="22"/>
        <v>126718.16107915096</v>
      </c>
      <c r="AA22" s="120">
        <f t="shared" si="21"/>
        <v>126718.16107915096</v>
      </c>
      <c r="AB22" s="120"/>
    </row>
    <row r="23" spans="1:32">
      <c r="A23" s="29">
        <v>60</v>
      </c>
      <c r="B23" s="29">
        <v>65</v>
      </c>
      <c r="C23" s="29">
        <f t="shared" si="16"/>
        <v>62.5</v>
      </c>
      <c r="D23" s="29">
        <f t="shared" si="3"/>
        <v>991</v>
      </c>
      <c r="E23" s="286">
        <f t="shared" si="17"/>
        <v>0</v>
      </c>
      <c r="F23" s="130">
        <v>0.2</v>
      </c>
      <c r="G23" s="287">
        <f t="shared" si="24"/>
        <v>3.75</v>
      </c>
      <c r="H23" s="288">
        <f t="shared" si="11"/>
        <v>0</v>
      </c>
      <c r="I23" s="289">
        <f t="shared" si="6"/>
        <v>0</v>
      </c>
      <c r="J23" s="23">
        <f t="shared" si="12"/>
        <v>0</v>
      </c>
      <c r="K23" s="23">
        <f>IF(AND($AS$30="yes",B23&lt;=$AS$31),0,J23/3.412/G23)</f>
        <v>0</v>
      </c>
      <c r="L23" s="120">
        <f t="shared" si="8"/>
        <v>0</v>
      </c>
      <c r="M23" s="120">
        <f t="shared" si="8"/>
        <v>0</v>
      </c>
      <c r="N23" s="120">
        <f t="shared" si="8"/>
        <v>0</v>
      </c>
      <c r="O23" s="120">
        <f t="shared" si="8"/>
        <v>0</v>
      </c>
      <c r="P23" s="120">
        <f t="shared" si="8"/>
        <v>0</v>
      </c>
      <c r="Q23" s="120">
        <f>IF($D23=0,0,IF($I23&lt;=Q$4,$I23*$D23*$H23,Q$4*$D23*$H23))</f>
        <v>0</v>
      </c>
      <c r="R23" s="120">
        <f t="shared" si="22"/>
        <v>0</v>
      </c>
      <c r="S23" s="120">
        <f t="shared" si="22"/>
        <v>0</v>
      </c>
      <c r="T23" s="120">
        <f t="shared" si="22"/>
        <v>0</v>
      </c>
      <c r="U23" s="120">
        <f t="shared" si="22"/>
        <v>0</v>
      </c>
      <c r="V23" s="120">
        <f t="shared" si="22"/>
        <v>0</v>
      </c>
      <c r="W23" s="120">
        <f t="shared" si="22"/>
        <v>0</v>
      </c>
      <c r="X23" s="120">
        <f t="shared" si="22"/>
        <v>0</v>
      </c>
      <c r="Y23" s="120">
        <f t="shared" si="22"/>
        <v>0</v>
      </c>
      <c r="Z23" s="120">
        <f t="shared" si="22"/>
        <v>0</v>
      </c>
      <c r="AA23" s="120">
        <f t="shared" si="13"/>
        <v>0</v>
      </c>
      <c r="AB23" s="120"/>
    </row>
    <row r="24" spans="1:32">
      <c r="L24" s="7">
        <f>SUM(L5:L23)</f>
        <v>21446722.376512598</v>
      </c>
      <c r="M24" s="7">
        <f t="shared" ref="M24:Z24" si="25">SUM(M5:M23)</f>
        <v>25113088.672882363</v>
      </c>
      <c r="N24" s="7">
        <f t="shared" si="25"/>
        <v>28468900.962110691</v>
      </c>
      <c r="O24" s="7">
        <f t="shared" si="25"/>
        <v>31166143.919857174</v>
      </c>
      <c r="P24" s="7">
        <f t="shared" si="25"/>
        <v>33449823.621305294</v>
      </c>
      <c r="Q24" s="7">
        <f t="shared" si="25"/>
        <v>35432639.357270382</v>
      </c>
      <c r="R24" s="7">
        <f t="shared" si="25"/>
        <v>37121739.709383063</v>
      </c>
      <c r="S24" s="7">
        <f t="shared" si="25"/>
        <v>38369233.039079554</v>
      </c>
      <c r="T24" s="7">
        <f t="shared" si="25"/>
        <v>39247837.730609015</v>
      </c>
      <c r="U24" s="7">
        <f t="shared" si="25"/>
        <v>39756036.004760966</v>
      </c>
      <c r="V24" s="7">
        <f t="shared" si="25"/>
        <v>39938571.216028571</v>
      </c>
      <c r="W24" s="7">
        <f t="shared" si="25"/>
        <v>40049492.065066457</v>
      </c>
      <c r="X24" s="7">
        <f t="shared" si="25"/>
        <v>40121492.065066457</v>
      </c>
      <c r="Y24" s="7">
        <f t="shared" si="25"/>
        <v>40193492.065066464</v>
      </c>
      <c r="Z24" s="7">
        <f t="shared" si="25"/>
        <v>40265492.065066464</v>
      </c>
      <c r="AA24" s="7">
        <f>SUM(AA5:AA23)</f>
        <v>40337492.065066457</v>
      </c>
      <c r="AB24" s="7"/>
    </row>
    <row r="25" spans="1:32">
      <c r="L25" s="290">
        <f>L24/$AA$24</f>
        <v>0.53168209718933268</v>
      </c>
      <c r="M25" s="290">
        <f t="shared" ref="M25:Z25" si="26">M24/$AA$24</f>
        <v>0.62257436908506003</v>
      </c>
      <c r="N25" s="290">
        <f t="shared" si="26"/>
        <v>0.70576774867879455</v>
      </c>
      <c r="O25" s="290">
        <f t="shared" si="26"/>
        <v>0.77263464643722957</v>
      </c>
      <c r="P25" s="290">
        <f t="shared" si="26"/>
        <v>0.82924896687550631</v>
      </c>
      <c r="Q25" s="290">
        <f>Q24/$AA$24</f>
        <v>0.87840461920923851</v>
      </c>
      <c r="R25" s="290">
        <f t="shared" si="26"/>
        <v>0.92027882272660333</v>
      </c>
      <c r="S25" s="290">
        <f t="shared" si="26"/>
        <v>0.95120522062174817</v>
      </c>
      <c r="T25" s="290">
        <f t="shared" si="26"/>
        <v>0.97298656216157975</v>
      </c>
      <c r="U25" s="290">
        <f t="shared" si="26"/>
        <v>0.9855852203362675</v>
      </c>
      <c r="V25" s="290">
        <f t="shared" si="26"/>
        <v>0.99011042014227346</v>
      </c>
      <c r="W25" s="290">
        <f t="shared" si="26"/>
        <v>0.99286024030607944</v>
      </c>
      <c r="X25" s="290">
        <f t="shared" si="26"/>
        <v>0.99464518022955961</v>
      </c>
      <c r="Y25" s="290">
        <f t="shared" si="26"/>
        <v>0.99643012015303989</v>
      </c>
      <c r="Z25" s="290">
        <f t="shared" si="26"/>
        <v>0.99821506007652006</v>
      </c>
    </row>
    <row r="34" spans="29:37">
      <c r="AC34" s="277" t="s">
        <v>362</v>
      </c>
      <c r="AD34" s="305" t="s">
        <v>361</v>
      </c>
      <c r="AE34" s="277" t="s">
        <v>363</v>
      </c>
      <c r="AF34" s="277" t="s">
        <v>364</v>
      </c>
    </row>
    <row r="35" spans="29:37">
      <c r="AC35" s="116">
        <v>-27.5</v>
      </c>
      <c r="AD35" s="306">
        <f>Q5</f>
        <v>0</v>
      </c>
      <c r="AE35" s="20" t="e">
        <f t="shared" ref="AE35:AE36" si="27">Q5/AA5</f>
        <v>#DIV/0!</v>
      </c>
      <c r="AF35" s="118" t="e">
        <f t="shared" ref="AF35:AF39" si="28">AA5*(1-AE35)</f>
        <v>#DIV/0!</v>
      </c>
      <c r="AG35" s="284">
        <v>36000</v>
      </c>
      <c r="AH35" s="31"/>
      <c r="AI35" s="31"/>
      <c r="AJ35" s="31"/>
      <c r="AK35" s="31"/>
    </row>
    <row r="36" spans="29:37">
      <c r="AC36" s="125">
        <v>-22.5</v>
      </c>
      <c r="AD36" s="23">
        <f t="shared" ref="AD36:AD39" si="29">Q6</f>
        <v>0</v>
      </c>
      <c r="AE36" s="21" t="e">
        <f t="shared" si="27"/>
        <v>#DIV/0!</v>
      </c>
      <c r="AF36" s="129" t="e">
        <f t="shared" si="28"/>
        <v>#DIV/0!</v>
      </c>
      <c r="AG36" s="284">
        <v>36000</v>
      </c>
      <c r="AH36" s="31"/>
      <c r="AI36" s="31"/>
      <c r="AJ36" s="31"/>
      <c r="AK36" s="31"/>
    </row>
    <row r="37" spans="29:37">
      <c r="AC37" s="125">
        <v>-17.5</v>
      </c>
      <c r="AD37" s="23">
        <f t="shared" si="29"/>
        <v>0</v>
      </c>
      <c r="AE37" s="21" t="e">
        <f>Q7/AA7</f>
        <v>#DIV/0!</v>
      </c>
      <c r="AF37" s="129" t="e">
        <f t="shared" si="28"/>
        <v>#DIV/0!</v>
      </c>
      <c r="AG37" s="284">
        <v>36000</v>
      </c>
      <c r="AH37" s="31"/>
      <c r="AI37" s="31"/>
      <c r="AJ37" s="31"/>
      <c r="AK37" s="31"/>
    </row>
    <row r="38" spans="29:37">
      <c r="AC38" s="125">
        <v>-12.5</v>
      </c>
      <c r="AD38" s="23">
        <f t="shared" si="29"/>
        <v>0</v>
      </c>
      <c r="AE38" s="21" t="e">
        <f>Q8/AA8</f>
        <v>#DIV/0!</v>
      </c>
      <c r="AF38" s="129" t="e">
        <f t="shared" si="28"/>
        <v>#DIV/0!</v>
      </c>
      <c r="AG38" s="284">
        <v>36000</v>
      </c>
      <c r="AH38" s="31"/>
      <c r="AI38" s="31"/>
      <c r="AJ38" s="31"/>
      <c r="AK38" s="31"/>
    </row>
    <row r="39" spans="29:37">
      <c r="AC39" s="125">
        <v>-7.5</v>
      </c>
      <c r="AD39" s="23">
        <f t="shared" si="29"/>
        <v>0</v>
      </c>
      <c r="AE39" s="21" t="e">
        <f>Q9/AA9</f>
        <v>#DIV/0!</v>
      </c>
      <c r="AF39" s="129" t="e">
        <f t="shared" si="28"/>
        <v>#DIV/0!</v>
      </c>
      <c r="AG39" s="284">
        <v>36000</v>
      </c>
      <c r="AH39" s="31"/>
      <c r="AI39" s="31"/>
      <c r="AJ39" s="31"/>
      <c r="AK39" s="31"/>
    </row>
    <row r="40" spans="29:37">
      <c r="AC40" s="125">
        <v>-2.5</v>
      </c>
      <c r="AD40" s="23">
        <f>AG40*AE40</f>
        <v>17999.999999999996</v>
      </c>
      <c r="AE40" s="22">
        <f>Q10/AA10</f>
        <v>0.49999999999999994</v>
      </c>
      <c r="AF40" s="304">
        <f>AG40*(1-AE40)</f>
        <v>18000</v>
      </c>
      <c r="AG40" s="284">
        <v>36000</v>
      </c>
      <c r="AH40" s="31"/>
      <c r="AI40" s="31"/>
      <c r="AJ40" s="31"/>
      <c r="AK40" s="31"/>
    </row>
    <row r="41" spans="29:37">
      <c r="AC41" s="125">
        <v>2.5</v>
      </c>
      <c r="AD41" s="23">
        <f t="shared" ref="AD41:AD52" si="30">AG41*AE41</f>
        <v>17999.999999999996</v>
      </c>
      <c r="AE41" s="22">
        <f t="shared" ref="AE41:AE52" si="31">Q11/AA11</f>
        <v>0.49999999999999989</v>
      </c>
      <c r="AF41" s="304">
        <f t="shared" ref="AF41:AF52" si="32">AG41*(1-AE41)</f>
        <v>18000.000000000004</v>
      </c>
      <c r="AG41" s="284">
        <v>36000</v>
      </c>
      <c r="AH41" s="31"/>
      <c r="AI41" s="31"/>
      <c r="AJ41" s="31"/>
      <c r="AK41" s="31"/>
    </row>
    <row r="42" spans="29:37">
      <c r="AC42" s="125">
        <v>7.5</v>
      </c>
      <c r="AD42" s="23">
        <f t="shared" si="30"/>
        <v>23449.541284403665</v>
      </c>
      <c r="AE42" s="22">
        <f t="shared" si="31"/>
        <v>0.6513761467889907</v>
      </c>
      <c r="AF42" s="304">
        <f t="shared" si="32"/>
        <v>12550.458715596335</v>
      </c>
      <c r="AG42" s="284">
        <v>36000</v>
      </c>
      <c r="AH42" s="31"/>
      <c r="AI42" s="31"/>
      <c r="AJ42" s="31"/>
      <c r="AK42" s="31"/>
    </row>
    <row r="43" spans="29:37">
      <c r="AC43" s="125">
        <v>12.5</v>
      </c>
      <c r="AD43" s="23">
        <f t="shared" si="30"/>
        <v>19074.626865671642</v>
      </c>
      <c r="AE43" s="22">
        <f t="shared" si="31"/>
        <v>0.71717171717171713</v>
      </c>
      <c r="AF43" s="304">
        <f t="shared" si="32"/>
        <v>7522.3880597014941</v>
      </c>
      <c r="AG43" s="284">
        <v>26597.014925373136</v>
      </c>
      <c r="AH43" s="31"/>
      <c r="AI43" s="31"/>
      <c r="AJ43" s="31"/>
      <c r="AK43" s="31"/>
    </row>
    <row r="44" spans="29:37">
      <c r="AC44" s="125">
        <v>17.5</v>
      </c>
      <c r="AD44" s="23">
        <f t="shared" si="30"/>
        <v>19074.626865671635</v>
      </c>
      <c r="AE44" s="22">
        <f t="shared" si="31"/>
        <v>0.79775280898876377</v>
      </c>
      <c r="AF44" s="304">
        <f t="shared" si="32"/>
        <v>4835.8208955223945</v>
      </c>
      <c r="AG44" s="284">
        <v>23910.447761194031</v>
      </c>
      <c r="AH44" s="31"/>
      <c r="AI44" s="31"/>
      <c r="AJ44" s="31"/>
      <c r="AK44" s="31"/>
    </row>
    <row r="45" spans="29:37">
      <c r="AC45" s="125">
        <v>22.5</v>
      </c>
      <c r="AD45" s="23">
        <f t="shared" si="30"/>
        <v>19074.626865671638</v>
      </c>
      <c r="AE45" s="22">
        <f t="shared" si="31"/>
        <v>0.89873417721518967</v>
      </c>
      <c r="AF45" s="304">
        <f t="shared" si="32"/>
        <v>2149.2537313432881</v>
      </c>
      <c r="AG45" s="284">
        <v>21223.880597014926</v>
      </c>
      <c r="AH45" s="31"/>
      <c r="AI45" s="31"/>
      <c r="AJ45" s="31"/>
      <c r="AK45" s="31"/>
    </row>
    <row r="46" spans="29:37">
      <c r="AC46" s="125">
        <v>27.5</v>
      </c>
      <c r="AD46" s="23">
        <f t="shared" si="30"/>
        <v>18537.313432835821</v>
      </c>
      <c r="AE46" s="22">
        <f t="shared" si="31"/>
        <v>1</v>
      </c>
      <c r="AF46" s="304">
        <f t="shared" si="32"/>
        <v>0</v>
      </c>
      <c r="AG46" s="284">
        <v>18537.313432835821</v>
      </c>
      <c r="AH46" s="31"/>
      <c r="AI46" s="31"/>
      <c r="AJ46" s="31"/>
      <c r="AK46" s="31"/>
    </row>
    <row r="47" spans="29:37">
      <c r="AC47" s="125">
        <v>32.5</v>
      </c>
      <c r="AD47" s="23">
        <f t="shared" si="30"/>
        <v>15850.746268656716</v>
      </c>
      <c r="AE47" s="22">
        <f t="shared" si="31"/>
        <v>1</v>
      </c>
      <c r="AF47" s="304">
        <f t="shared" si="32"/>
        <v>0</v>
      </c>
      <c r="AG47" s="284">
        <v>15850.746268656716</v>
      </c>
      <c r="AH47" s="31"/>
      <c r="AI47" s="31"/>
      <c r="AJ47" s="31"/>
      <c r="AK47" s="31"/>
    </row>
    <row r="48" spans="29:37">
      <c r="AC48" s="125">
        <v>37.5</v>
      </c>
      <c r="AD48" s="23">
        <f t="shared" si="30"/>
        <v>13164.179104477613</v>
      </c>
      <c r="AE48" s="22">
        <f t="shared" si="31"/>
        <v>1</v>
      </c>
      <c r="AF48" s="304">
        <f t="shared" si="32"/>
        <v>0</v>
      </c>
      <c r="AG48" s="284">
        <v>13164.179104477613</v>
      </c>
      <c r="AH48" s="31"/>
      <c r="AI48" s="31"/>
      <c r="AJ48" s="31"/>
      <c r="AK48" s="31"/>
    </row>
    <row r="49" spans="29:37">
      <c r="AC49" s="125">
        <v>42.5</v>
      </c>
      <c r="AD49" s="23">
        <f t="shared" si="30"/>
        <v>10477.611940298508</v>
      </c>
      <c r="AE49" s="22">
        <f t="shared" si="31"/>
        <v>1</v>
      </c>
      <c r="AF49" s="304">
        <f t="shared" si="32"/>
        <v>0</v>
      </c>
      <c r="AG49" s="284">
        <v>10477.611940298508</v>
      </c>
      <c r="AH49" s="31"/>
      <c r="AI49" s="31"/>
      <c r="AJ49" s="31"/>
      <c r="AK49" s="31"/>
    </row>
    <row r="50" spans="29:37">
      <c r="AC50" s="125">
        <v>47.5</v>
      </c>
      <c r="AD50" s="23">
        <f t="shared" si="30"/>
        <v>7791.0447761194027</v>
      </c>
      <c r="AE50" s="22">
        <f>Q20/AA20</f>
        <v>1</v>
      </c>
      <c r="AF50" s="304">
        <f t="shared" si="32"/>
        <v>0</v>
      </c>
      <c r="AG50" s="284">
        <v>7791.0447761194027</v>
      </c>
      <c r="AH50" s="31"/>
      <c r="AI50" s="31"/>
      <c r="AJ50" s="31"/>
      <c r="AK50" s="31"/>
    </row>
    <row r="51" spans="29:37">
      <c r="AC51" s="125">
        <v>52.5</v>
      </c>
      <c r="AD51" s="23">
        <f t="shared" si="30"/>
        <v>5104.4776119402986</v>
      </c>
      <c r="AE51" s="22">
        <f t="shared" si="31"/>
        <v>1</v>
      </c>
      <c r="AF51" s="304">
        <f t="shared" si="32"/>
        <v>0</v>
      </c>
      <c r="AG51" s="284">
        <v>5104.4776119402986</v>
      </c>
      <c r="AH51" s="31"/>
      <c r="AI51" s="31"/>
      <c r="AJ51" s="31"/>
      <c r="AK51" s="31"/>
    </row>
    <row r="52" spans="29:37">
      <c r="AC52" s="125">
        <v>57.5</v>
      </c>
      <c r="AD52" s="23">
        <f t="shared" si="30"/>
        <v>2417.9104477611941</v>
      </c>
      <c r="AE52" s="22">
        <f t="shared" si="31"/>
        <v>1</v>
      </c>
      <c r="AF52" s="304">
        <f t="shared" si="32"/>
        <v>0</v>
      </c>
      <c r="AG52" s="284">
        <v>2417.9104477611941</v>
      </c>
      <c r="AH52" s="31"/>
      <c r="AI52" s="31"/>
      <c r="AJ52" s="31"/>
      <c r="AK52" s="31"/>
    </row>
  </sheetData>
  <mergeCells count="1">
    <mergeCell ref="A4:B4"/>
  </mergeCells>
  <pageMargins left="0.7" right="0.7" top="0.75" bottom="0.75" header="0.3" footer="0.3"/>
  <pageSetup scale="65" orientation="landscape" r:id="rId1"/>
  <colBreaks count="1" manualBreakCount="1">
    <brk id="37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G328"/>
  <sheetViews>
    <sheetView topLeftCell="A10" zoomScale="85" zoomScaleNormal="85" workbookViewId="0">
      <selection activeCell="AL84" sqref="AL84"/>
    </sheetView>
  </sheetViews>
  <sheetFormatPr defaultRowHeight="14.5"/>
  <cols>
    <col min="1" max="1" width="15.7265625" bestFit="1" customWidth="1"/>
    <col min="2" max="2" width="15.453125" bestFit="1" customWidth="1"/>
    <col min="3" max="5" width="13.453125" bestFit="1" customWidth="1"/>
    <col min="6" max="8" width="12.453125" bestFit="1" customWidth="1"/>
    <col min="9" max="11" width="13.81640625" bestFit="1" customWidth="1"/>
    <col min="12" max="12" width="14.453125" bestFit="1" customWidth="1"/>
    <col min="13" max="13" width="12.7265625" bestFit="1" customWidth="1"/>
    <col min="14" max="18" width="15.453125" bestFit="1" customWidth="1"/>
    <col min="19" max="19" width="14.453125" bestFit="1" customWidth="1"/>
    <col min="20" max="20" width="12.7265625" bestFit="1" customWidth="1"/>
    <col min="21" max="25" width="15.453125" bestFit="1" customWidth="1"/>
    <col min="26" max="29" width="12.453125" bestFit="1" customWidth="1"/>
    <col min="30" max="30" width="13.54296875" bestFit="1" customWidth="1"/>
    <col min="31" max="34" width="15.7265625" bestFit="1" customWidth="1"/>
    <col min="35" max="36" width="14.7265625" bestFit="1" customWidth="1"/>
    <col min="37" max="40" width="15.7265625" bestFit="1" customWidth="1"/>
    <col min="41" max="46" width="14.7265625" bestFit="1" customWidth="1"/>
    <col min="47" max="49" width="16.81640625" bestFit="1" customWidth="1"/>
    <col min="50" max="52" width="13.81640625" bestFit="1" customWidth="1"/>
    <col min="53" max="53" width="14.453125" bestFit="1" customWidth="1"/>
    <col min="54" max="54" width="12.7265625" bestFit="1" customWidth="1"/>
    <col min="55" max="59" width="15.453125" bestFit="1" customWidth="1"/>
    <col min="60" max="60" width="12.7265625" bestFit="1" customWidth="1"/>
    <col min="61" max="65" width="15.453125" bestFit="1" customWidth="1"/>
    <col min="66" max="66" width="14.7265625" bestFit="1" customWidth="1"/>
    <col min="67" max="70" width="12.453125" bestFit="1" customWidth="1"/>
    <col min="71" max="71" width="13.54296875" bestFit="1" customWidth="1"/>
    <col min="72" max="75" width="15.7265625" bestFit="1" customWidth="1"/>
    <col min="76" max="76" width="14.7265625" bestFit="1" customWidth="1"/>
    <col min="77" max="80" width="15.7265625" bestFit="1" customWidth="1"/>
    <col min="81" max="85" width="14.7265625" bestFit="1" customWidth="1"/>
    <col min="86" max="86" width="14.7265625" style="184" bestFit="1" customWidth="1"/>
    <col min="87" max="87" width="10.7265625" bestFit="1" customWidth="1"/>
    <col min="88" max="88" width="14.7265625" style="184" bestFit="1" customWidth="1"/>
    <col min="89" max="89" width="10.26953125" bestFit="1" customWidth="1"/>
    <col min="90" max="90" width="10.26953125" style="184" bestFit="1" customWidth="1"/>
    <col min="91" max="91" width="12" customWidth="1"/>
    <col min="92" max="92" width="13.453125" style="184" bestFit="1" customWidth="1"/>
    <col min="93" max="93" width="13.453125" bestFit="1" customWidth="1"/>
    <col min="94" max="94" width="13.453125" style="184" bestFit="1" customWidth="1"/>
    <col min="95" max="95" width="13.453125" bestFit="1" customWidth="1"/>
    <col min="96" max="96" width="12.453125" style="184" bestFit="1" customWidth="1"/>
    <col min="97" max="97" width="12.453125" bestFit="1" customWidth="1"/>
    <col min="98" max="98" width="12.453125" style="184" bestFit="1" customWidth="1"/>
    <col min="99" max="99" width="13.81640625" bestFit="1" customWidth="1"/>
    <col min="100" max="100" width="13.81640625" style="184" bestFit="1" customWidth="1"/>
    <col min="101" max="101" width="13.81640625" bestFit="1" customWidth="1"/>
    <col min="102" max="102" width="14.453125" style="184" bestFit="1" customWidth="1"/>
    <col min="103" max="103" width="12.7265625" bestFit="1" customWidth="1"/>
    <col min="104" max="104" width="15.453125" style="184" bestFit="1" customWidth="1"/>
    <col min="105" max="105" width="15.453125" bestFit="1" customWidth="1"/>
    <col min="106" max="106" width="15.453125" style="184" bestFit="1" customWidth="1"/>
    <col min="107" max="107" width="15.453125" bestFit="1" customWidth="1"/>
    <col min="108" max="108" width="15.453125" style="184" bestFit="1" customWidth="1"/>
    <col min="109" max="109" width="12.26953125" bestFit="1" customWidth="1"/>
    <col min="110" max="110" width="12.26953125" style="184" bestFit="1" customWidth="1"/>
    <col min="111" max="111" width="12.26953125" bestFit="1" customWidth="1"/>
    <col min="112" max="112" width="12.26953125" style="184" bestFit="1" customWidth="1"/>
    <col min="113" max="113" width="12.26953125" bestFit="1" customWidth="1"/>
    <col min="114" max="114" width="12.26953125" style="184" bestFit="1" customWidth="1"/>
    <col min="115" max="115" width="12.453125" bestFit="1" customWidth="1"/>
    <col min="116" max="116" width="12.453125" style="184" bestFit="1" customWidth="1"/>
    <col min="117" max="117" width="12.453125" bestFit="1" customWidth="1"/>
    <col min="118" max="118" width="12.453125" style="184" bestFit="1" customWidth="1"/>
    <col min="119" max="119" width="13.54296875" bestFit="1" customWidth="1"/>
    <col min="120" max="120" width="15.7265625" style="184" bestFit="1" customWidth="1"/>
    <col min="121" max="121" width="15.7265625" bestFit="1" customWidth="1"/>
    <col min="122" max="122" width="15.7265625" style="184" bestFit="1" customWidth="1"/>
    <col min="123" max="123" width="15.7265625" bestFit="1" customWidth="1"/>
    <col min="124" max="124" width="14.7265625" style="184" bestFit="1" customWidth="1"/>
    <col min="125" max="125" width="14.7265625" bestFit="1" customWidth="1"/>
    <col min="126" max="126" width="14.7265625" style="184" bestFit="1" customWidth="1"/>
    <col min="127" max="127" width="14.7265625" bestFit="1" customWidth="1"/>
    <col min="128" max="128" width="14.7265625" style="184" bestFit="1" customWidth="1"/>
    <col min="129" max="129" width="14.7265625" bestFit="1" customWidth="1"/>
    <col min="130" max="130" width="10.7265625" style="184" bestFit="1" customWidth="1"/>
    <col min="131" max="131" width="14.7265625" bestFit="1" customWidth="1"/>
    <col min="132" max="132" width="5.7265625" style="184" bestFit="1" customWidth="1"/>
  </cols>
  <sheetData>
    <row r="1" spans="1:7" s="184" customFormat="1">
      <c r="A1" s="12"/>
      <c r="B1" s="478" t="s">
        <v>44</v>
      </c>
      <c r="C1" s="478"/>
      <c r="D1" s="478"/>
      <c r="E1" s="478"/>
    </row>
    <row r="2" spans="1:7" s="184" customFormat="1">
      <c r="A2" s="8" t="s">
        <v>43</v>
      </c>
      <c r="B2" s="8" t="s">
        <v>22</v>
      </c>
      <c r="C2" s="8" t="s">
        <v>20</v>
      </c>
      <c r="D2" s="12">
        <v>17</v>
      </c>
      <c r="E2" s="12">
        <v>5</v>
      </c>
      <c r="F2" s="184">
        <v>-4</v>
      </c>
      <c r="G2" s="184">
        <v>-13</v>
      </c>
    </row>
    <row r="3" spans="1:7">
      <c r="A3" s="17" t="s">
        <v>250</v>
      </c>
      <c r="B3" s="15">
        <v>8100</v>
      </c>
      <c r="C3" s="15">
        <v>10900</v>
      </c>
      <c r="D3" s="15">
        <v>6700</v>
      </c>
      <c r="E3" s="15">
        <v>4800</v>
      </c>
      <c r="F3" s="15"/>
      <c r="G3" s="15"/>
    </row>
    <row r="4" spans="1:7">
      <c r="A4" s="17" t="s">
        <v>251</v>
      </c>
      <c r="B4" s="15">
        <v>11500</v>
      </c>
      <c r="C4" s="15">
        <v>13600</v>
      </c>
      <c r="D4" s="15">
        <v>9000</v>
      </c>
      <c r="E4" s="15">
        <v>6000</v>
      </c>
      <c r="F4" s="15"/>
      <c r="G4" s="15"/>
    </row>
    <row r="5" spans="1:7">
      <c r="A5" s="17" t="s">
        <v>252</v>
      </c>
      <c r="B5" s="15">
        <v>14100</v>
      </c>
      <c r="C5" s="15">
        <v>18000</v>
      </c>
      <c r="D5" s="15">
        <v>11900</v>
      </c>
      <c r="E5" s="15">
        <v>7900</v>
      </c>
      <c r="F5" s="15"/>
      <c r="G5" s="15"/>
    </row>
    <row r="6" spans="1:7">
      <c r="A6" s="17" t="s">
        <v>253</v>
      </c>
      <c r="B6" s="15">
        <v>17200</v>
      </c>
      <c r="C6" s="15">
        <v>21600</v>
      </c>
      <c r="D6" s="15">
        <v>13100</v>
      </c>
      <c r="E6" s="15">
        <v>9500</v>
      </c>
      <c r="F6" s="15"/>
      <c r="G6" s="15"/>
    </row>
    <row r="7" spans="1:7">
      <c r="A7" s="17" t="s">
        <v>254</v>
      </c>
      <c r="B7" s="15">
        <v>8400</v>
      </c>
      <c r="C7" s="15">
        <v>10900</v>
      </c>
      <c r="D7" s="15">
        <v>6200</v>
      </c>
      <c r="E7" s="15">
        <v>4800</v>
      </c>
      <c r="F7" s="15"/>
      <c r="G7" s="15"/>
    </row>
    <row r="8" spans="1:7">
      <c r="A8" s="17" t="s">
        <v>255</v>
      </c>
      <c r="B8" s="15">
        <v>11100</v>
      </c>
      <c r="C8" s="15">
        <v>13600</v>
      </c>
      <c r="D8" s="15">
        <v>8300</v>
      </c>
      <c r="E8" s="15">
        <v>6000</v>
      </c>
      <c r="F8" s="15"/>
      <c r="G8" s="15"/>
    </row>
    <row r="9" spans="1:7">
      <c r="A9" s="17" t="s">
        <v>256</v>
      </c>
      <c r="B9" s="15">
        <v>15000</v>
      </c>
      <c r="C9" s="15">
        <v>18000</v>
      </c>
      <c r="D9" s="15">
        <v>12000</v>
      </c>
      <c r="E9" s="15">
        <v>7900</v>
      </c>
      <c r="F9" s="15"/>
      <c r="G9" s="15"/>
    </row>
    <row r="10" spans="1:7">
      <c r="A10" s="17" t="s">
        <v>257</v>
      </c>
      <c r="B10" s="15">
        <v>9000</v>
      </c>
      <c r="C10" s="15">
        <v>10900</v>
      </c>
      <c r="D10" s="15">
        <v>6600</v>
      </c>
      <c r="E10" s="15">
        <v>4800</v>
      </c>
      <c r="F10" s="15"/>
      <c r="G10" s="15"/>
    </row>
    <row r="11" spans="1:7">
      <c r="A11" s="17" t="s">
        <v>258</v>
      </c>
      <c r="B11" s="15">
        <v>12000</v>
      </c>
      <c r="C11" s="15">
        <v>14400</v>
      </c>
      <c r="D11" s="15">
        <v>8800</v>
      </c>
      <c r="E11" s="15">
        <v>6300</v>
      </c>
      <c r="F11" s="15"/>
      <c r="G11" s="15"/>
    </row>
    <row r="12" spans="1:7">
      <c r="A12" s="17" t="s">
        <v>259</v>
      </c>
      <c r="B12" s="15">
        <v>14000</v>
      </c>
      <c r="C12" s="15">
        <v>18000</v>
      </c>
      <c r="D12" s="15">
        <v>11300</v>
      </c>
      <c r="E12" s="15">
        <v>7900</v>
      </c>
      <c r="F12" s="15"/>
      <c r="G12" s="15"/>
    </row>
    <row r="13" spans="1:7">
      <c r="A13" s="17" t="s">
        <v>260</v>
      </c>
      <c r="B13" s="15">
        <v>17200</v>
      </c>
      <c r="C13" s="15">
        <v>21600</v>
      </c>
      <c r="D13" s="15">
        <v>13400</v>
      </c>
      <c r="E13" s="15">
        <v>9100</v>
      </c>
      <c r="F13" s="15"/>
      <c r="G13" s="15"/>
    </row>
    <row r="14" spans="1:7">
      <c r="A14" s="17" t="s">
        <v>261</v>
      </c>
      <c r="B14" s="15">
        <v>22400</v>
      </c>
      <c r="C14" s="15">
        <v>27600</v>
      </c>
      <c r="D14" s="15">
        <v>16000</v>
      </c>
      <c r="E14" s="15">
        <v>12100</v>
      </c>
      <c r="F14" s="15"/>
      <c r="G14" s="15"/>
    </row>
    <row r="15" spans="1:7">
      <c r="A15" s="334" t="s">
        <v>283</v>
      </c>
      <c r="B15" s="335">
        <v>9000</v>
      </c>
      <c r="C15" s="335">
        <v>14100</v>
      </c>
      <c r="D15" s="335">
        <v>10800</v>
      </c>
      <c r="E15" s="335">
        <f>10900*0.7</f>
        <v>7629.9999999999991</v>
      </c>
      <c r="F15" s="335">
        <f>10900*0.56</f>
        <v>6104.0000000000009</v>
      </c>
      <c r="G15" s="246"/>
    </row>
    <row r="16" spans="1:7">
      <c r="A16" s="334" t="s">
        <v>284</v>
      </c>
      <c r="B16" s="335">
        <v>12000</v>
      </c>
      <c r="C16" s="335">
        <v>18100</v>
      </c>
      <c r="D16" s="335">
        <v>12000</v>
      </c>
      <c r="E16" s="335">
        <f>14400*0.68</f>
        <v>9792</v>
      </c>
      <c r="F16" s="335">
        <f>14400*0.55</f>
        <v>7920.0000000000009</v>
      </c>
      <c r="G16" s="246"/>
    </row>
    <row r="17" spans="1:7">
      <c r="A17" s="334" t="s">
        <v>285</v>
      </c>
      <c r="B17" s="335">
        <v>14000</v>
      </c>
      <c r="C17" s="335">
        <v>20900</v>
      </c>
      <c r="D17" s="335">
        <v>16400</v>
      </c>
      <c r="E17" s="335">
        <f>18000*0.76</f>
        <v>13680</v>
      </c>
      <c r="F17" s="335">
        <f>18000*0.62</f>
        <v>11160</v>
      </c>
      <c r="G17" s="246"/>
    </row>
    <row r="18" spans="1:7">
      <c r="A18" s="334" t="s">
        <v>286</v>
      </c>
      <c r="B18" s="335">
        <v>18000</v>
      </c>
      <c r="C18" s="335">
        <v>25000</v>
      </c>
      <c r="D18" s="335">
        <v>18200</v>
      </c>
      <c r="E18" s="335">
        <f>21600*0.6</f>
        <v>12960</v>
      </c>
      <c r="F18" s="335">
        <f>21600*0.48</f>
        <v>10368</v>
      </c>
      <c r="G18" s="246"/>
    </row>
    <row r="19" spans="1:7">
      <c r="A19" s="334" t="s">
        <v>287</v>
      </c>
      <c r="B19" s="335">
        <v>22400</v>
      </c>
      <c r="C19" s="335">
        <v>36900</v>
      </c>
      <c r="D19" s="335">
        <v>24600</v>
      </c>
      <c r="E19" s="335">
        <f>27600*0.7</f>
        <v>19320</v>
      </c>
      <c r="F19" s="335">
        <f>27600*0.56</f>
        <v>15456.000000000002</v>
      </c>
      <c r="G19" s="246"/>
    </row>
    <row r="20" spans="1:7">
      <c r="A20" s="337" t="s">
        <v>445</v>
      </c>
      <c r="B20" s="338">
        <v>20000</v>
      </c>
      <c r="C20" s="338">
        <v>22000</v>
      </c>
      <c r="D20" s="338">
        <v>15500</v>
      </c>
      <c r="E20" s="338">
        <v>11000</v>
      </c>
      <c r="F20" s="15"/>
      <c r="G20" s="15"/>
    </row>
    <row r="21" spans="1:7">
      <c r="A21" s="337" t="s">
        <v>245</v>
      </c>
      <c r="B21" s="338">
        <v>23600</v>
      </c>
      <c r="C21" s="338">
        <v>25000</v>
      </c>
      <c r="D21" s="338">
        <v>18150</v>
      </c>
      <c r="E21" s="338">
        <v>13500</v>
      </c>
      <c r="F21" s="15"/>
      <c r="G21" s="15"/>
    </row>
    <row r="22" spans="1:7">
      <c r="A22" s="337" t="s">
        <v>246</v>
      </c>
      <c r="B22" s="338">
        <v>28400</v>
      </c>
      <c r="C22" s="338">
        <v>28600</v>
      </c>
      <c r="D22" s="338">
        <v>21335.599999999999</v>
      </c>
      <c r="E22" s="338">
        <v>15730.000000000002</v>
      </c>
      <c r="F22" s="15"/>
      <c r="G22" s="15"/>
    </row>
    <row r="23" spans="1:7">
      <c r="A23" s="337" t="s">
        <v>247</v>
      </c>
      <c r="B23" s="338">
        <v>35400</v>
      </c>
      <c r="C23" s="338">
        <v>36000</v>
      </c>
      <c r="D23" s="338">
        <v>25416</v>
      </c>
      <c r="E23" s="338">
        <v>18720</v>
      </c>
      <c r="F23" s="15"/>
      <c r="G23" s="15"/>
    </row>
    <row r="24" spans="1:7">
      <c r="A24" s="337" t="s">
        <v>248</v>
      </c>
      <c r="B24" s="338">
        <v>40800</v>
      </c>
      <c r="C24" s="338">
        <v>45200</v>
      </c>
      <c r="D24" s="338">
        <v>31911.199999999997</v>
      </c>
      <c r="E24" s="338">
        <v>23504</v>
      </c>
      <c r="F24" s="15"/>
      <c r="G24" s="15"/>
    </row>
    <row r="25" spans="1:7">
      <c r="A25" s="337" t="s">
        <v>249</v>
      </c>
      <c r="B25" s="338">
        <v>48000</v>
      </c>
      <c r="C25" s="338">
        <v>54000</v>
      </c>
      <c r="D25" s="338">
        <v>32454</v>
      </c>
      <c r="E25" s="338">
        <v>30240.000000000004</v>
      </c>
      <c r="F25" s="15"/>
      <c r="G25" s="15"/>
    </row>
    <row r="26" spans="1:7" s="184" customFormat="1">
      <c r="A26" s="337" t="s">
        <v>442</v>
      </c>
      <c r="B26" s="338">
        <v>36000</v>
      </c>
      <c r="C26" s="338">
        <v>44000</v>
      </c>
      <c r="D26" s="338">
        <v>30240</v>
      </c>
      <c r="E26" s="338">
        <v>25200</v>
      </c>
      <c r="F26" s="338">
        <f>0.525*C26</f>
        <v>23100</v>
      </c>
      <c r="G26" s="338">
        <f>0.46*C26</f>
        <v>20240</v>
      </c>
    </row>
    <row r="27" spans="1:7" s="184" customFormat="1">
      <c r="A27" s="337" t="s">
        <v>443</v>
      </c>
      <c r="B27" s="338">
        <v>48000</v>
      </c>
      <c r="C27" s="338">
        <v>52000</v>
      </c>
      <c r="D27" s="338">
        <v>38880</v>
      </c>
      <c r="E27" s="338">
        <v>32400</v>
      </c>
      <c r="F27" s="338">
        <f>0.525*C27</f>
        <v>27300</v>
      </c>
      <c r="G27" s="338">
        <f>0.46*C27</f>
        <v>23920</v>
      </c>
    </row>
    <row r="28" spans="1:7" s="184" customFormat="1">
      <c r="A28" s="337" t="s">
        <v>444</v>
      </c>
      <c r="B28" s="338">
        <v>60000</v>
      </c>
      <c r="C28" s="338">
        <v>66000</v>
      </c>
      <c r="D28" s="338">
        <v>48840</v>
      </c>
      <c r="E28" s="338">
        <v>39600</v>
      </c>
      <c r="F28" s="338">
        <f>0.52*C28</f>
        <v>34320</v>
      </c>
      <c r="G28" s="338">
        <f>0.44*C28</f>
        <v>29040</v>
      </c>
    </row>
    <row r="29" spans="1:7">
      <c r="A29" s="14" t="s">
        <v>372</v>
      </c>
      <c r="B29" s="15">
        <f>VLOOKUP("Muiltiple-Non Hyper Heat",data,2,FALSE)</f>
        <v>49400</v>
      </c>
      <c r="C29" s="15">
        <f>VLOOKUP("Muiltiple-Non Hyper Heat",data,3,FALSE)</f>
        <v>54000</v>
      </c>
      <c r="D29" s="15">
        <f>VLOOKUP("Muiltiple-Non Hyper Heat",data,12,FALSE)</f>
        <v>43000</v>
      </c>
      <c r="E29" s="15">
        <f>VLOOKUP("Muiltiple-Non Hyper Heat",data,13,FALSE)</f>
        <v>32420</v>
      </c>
      <c r="F29" s="15"/>
      <c r="G29" s="15"/>
    </row>
    <row r="30" spans="1:7" s="184" customFormat="1">
      <c r="A30" s="336" t="s">
        <v>288</v>
      </c>
      <c r="B30" s="335">
        <v>6000</v>
      </c>
      <c r="C30" s="335">
        <v>14000</v>
      </c>
      <c r="D30" s="335">
        <v>10700</v>
      </c>
      <c r="E30" s="335">
        <v>8700</v>
      </c>
      <c r="F30" s="335">
        <f>E30*0.88</f>
        <v>7656</v>
      </c>
      <c r="G30" s="335">
        <f>E30*0.74</f>
        <v>6438</v>
      </c>
    </row>
    <row r="31" spans="1:7" s="184" customFormat="1">
      <c r="A31" s="336" t="s">
        <v>11</v>
      </c>
      <c r="B31" s="335">
        <v>9000</v>
      </c>
      <c r="C31" s="335">
        <v>18000</v>
      </c>
      <c r="D31" s="335">
        <v>12200</v>
      </c>
      <c r="E31" s="335">
        <v>10900</v>
      </c>
      <c r="F31" s="335">
        <f>E31*0.86</f>
        <v>9374</v>
      </c>
      <c r="G31" s="335">
        <f>E31*0.71</f>
        <v>7739</v>
      </c>
    </row>
    <row r="32" spans="1:7" s="184" customFormat="1">
      <c r="A32" s="336" t="s">
        <v>12</v>
      </c>
      <c r="B32" s="335">
        <v>12000</v>
      </c>
      <c r="C32" s="335">
        <v>21000</v>
      </c>
      <c r="D32" s="335">
        <v>13600</v>
      </c>
      <c r="E32" s="335">
        <v>13600</v>
      </c>
      <c r="F32" s="335">
        <f>E32*0.86</f>
        <v>11696</v>
      </c>
      <c r="G32" s="335">
        <f>E32*0.73</f>
        <v>9928</v>
      </c>
    </row>
    <row r="33" spans="1:131" s="184" customFormat="1">
      <c r="A33" s="336" t="s">
        <v>13</v>
      </c>
      <c r="B33" s="335">
        <v>15000</v>
      </c>
      <c r="C33" s="335">
        <v>24000</v>
      </c>
      <c r="D33" s="335">
        <v>18000</v>
      </c>
      <c r="E33" s="335">
        <v>18000</v>
      </c>
      <c r="F33" s="335">
        <f>E33*0.9</f>
        <v>16200</v>
      </c>
      <c r="G33" s="335">
        <f>E33*0.81</f>
        <v>14580.000000000002</v>
      </c>
    </row>
    <row r="34" spans="1:131" s="184" customFormat="1">
      <c r="A34" s="336" t="s">
        <v>292</v>
      </c>
      <c r="B34" s="335">
        <v>17200</v>
      </c>
      <c r="C34" s="335">
        <v>30000</v>
      </c>
      <c r="D34" s="335">
        <v>20300</v>
      </c>
      <c r="E34" s="335">
        <v>20300</v>
      </c>
      <c r="F34" s="335">
        <f>E34*0.85</f>
        <v>17255</v>
      </c>
      <c r="G34" s="335">
        <f>E34*0.7</f>
        <v>14210</v>
      </c>
    </row>
    <row r="35" spans="1:131" s="184" customFormat="1">
      <c r="A35" s="336" t="s">
        <v>451</v>
      </c>
      <c r="B35" s="335">
        <v>9000</v>
      </c>
      <c r="C35" s="335">
        <v>19000</v>
      </c>
      <c r="D35" s="335">
        <v>13400</v>
      </c>
      <c r="E35" s="335">
        <v>11000</v>
      </c>
      <c r="F35" s="335">
        <f>E35*0.83</f>
        <v>9130</v>
      </c>
      <c r="G35" s="335">
        <f>E35*0.66</f>
        <v>7260</v>
      </c>
    </row>
    <row r="36" spans="1:131" s="184" customFormat="1">
      <c r="A36" s="336" t="s">
        <v>452</v>
      </c>
      <c r="B36" s="335">
        <v>12000</v>
      </c>
      <c r="C36" s="335">
        <v>22800</v>
      </c>
      <c r="D36" s="335">
        <v>14800</v>
      </c>
      <c r="E36" s="335">
        <v>13000</v>
      </c>
      <c r="F36" s="335">
        <f>E36*0.83</f>
        <v>10790</v>
      </c>
      <c r="G36" s="335">
        <f>E36*0.65</f>
        <v>8450</v>
      </c>
    </row>
    <row r="37" spans="1:131" s="184" customFormat="1">
      <c r="A37" s="336" t="s">
        <v>453</v>
      </c>
      <c r="B37" s="335">
        <v>15000</v>
      </c>
      <c r="C37" s="335">
        <v>25000</v>
      </c>
      <c r="D37" s="335">
        <v>20500</v>
      </c>
      <c r="E37" s="335">
        <v>18000</v>
      </c>
      <c r="F37" s="335">
        <f>E37*0.88</f>
        <v>15840</v>
      </c>
      <c r="G37" s="335">
        <f>E37*0.77</f>
        <v>13860</v>
      </c>
    </row>
    <row r="38" spans="1:131" s="184" customFormat="1">
      <c r="A38" s="336" t="s">
        <v>454</v>
      </c>
      <c r="B38" s="335">
        <v>17000</v>
      </c>
      <c r="C38" s="335">
        <v>29000</v>
      </c>
      <c r="D38" s="335">
        <v>23000</v>
      </c>
      <c r="E38" s="335">
        <v>21000</v>
      </c>
      <c r="F38" s="335">
        <f>E38*0.88</f>
        <v>18480</v>
      </c>
      <c r="G38" s="335">
        <f>E38*0.77</f>
        <v>16170</v>
      </c>
    </row>
    <row r="39" spans="1:131" s="184" customFormat="1">
      <c r="A39" s="339" t="s">
        <v>347</v>
      </c>
      <c r="B39" s="338">
        <v>20000</v>
      </c>
      <c r="C39" s="338">
        <v>22000</v>
      </c>
      <c r="D39" s="338">
        <v>22000</v>
      </c>
      <c r="E39" s="338">
        <v>22000</v>
      </c>
      <c r="F39" s="15"/>
      <c r="G39" s="15"/>
    </row>
    <row r="40" spans="1:131" s="184" customFormat="1">
      <c r="A40" s="339" t="s">
        <v>348</v>
      </c>
      <c r="B40" s="338">
        <v>24000</v>
      </c>
      <c r="C40" s="338">
        <v>25000</v>
      </c>
      <c r="D40" s="338">
        <v>25000</v>
      </c>
      <c r="E40" s="338">
        <v>25000</v>
      </c>
      <c r="F40" s="15"/>
      <c r="G40" s="15"/>
    </row>
    <row r="41" spans="1:131" s="184" customFormat="1">
      <c r="A41" s="339" t="s">
        <v>349</v>
      </c>
      <c r="B41" s="338">
        <v>30000</v>
      </c>
      <c r="C41" s="338">
        <v>28600</v>
      </c>
      <c r="D41" s="338">
        <v>28600</v>
      </c>
      <c r="E41" s="338">
        <v>28600</v>
      </c>
      <c r="F41" s="15"/>
      <c r="G41" s="15"/>
    </row>
    <row r="42" spans="1:131" s="184" customFormat="1">
      <c r="A42" s="339" t="s">
        <v>350</v>
      </c>
      <c r="B42" s="338">
        <v>36000</v>
      </c>
      <c r="C42" s="338">
        <v>45000</v>
      </c>
      <c r="D42" s="338">
        <v>45000</v>
      </c>
      <c r="E42" s="338">
        <v>45000</v>
      </c>
      <c r="F42" s="15"/>
      <c r="G42" s="15"/>
    </row>
    <row r="43" spans="1:131" s="184" customFormat="1">
      <c r="A43" s="339" t="s">
        <v>351</v>
      </c>
      <c r="B43" s="338">
        <v>42000</v>
      </c>
      <c r="C43" s="338">
        <v>48000</v>
      </c>
      <c r="D43" s="338">
        <v>48000</v>
      </c>
      <c r="E43" s="338">
        <v>48000</v>
      </c>
      <c r="F43" s="15"/>
      <c r="G43" s="15"/>
    </row>
    <row r="44" spans="1:131" s="184" customFormat="1">
      <c r="A44" s="339" t="s">
        <v>352</v>
      </c>
      <c r="B44" s="338">
        <v>48000</v>
      </c>
      <c r="C44" s="338">
        <v>54000</v>
      </c>
      <c r="D44" s="338">
        <v>54000</v>
      </c>
      <c r="E44" s="338">
        <v>54000</v>
      </c>
      <c r="F44" s="15"/>
      <c r="G44" s="15"/>
    </row>
    <row r="45" spans="1:131" s="184" customFormat="1">
      <c r="A45" s="14" t="s">
        <v>365</v>
      </c>
      <c r="B45" s="15">
        <f>VLOOKUP("multiple-hyper heat",data,2,FALSE)</f>
        <v>132000</v>
      </c>
      <c r="C45" s="15">
        <f>VLOOKUP("multiple-hyper heat",data,3,FALSE)</f>
        <v>147200</v>
      </c>
      <c r="D45" s="15">
        <f>VLOOKUP("multiple-hyper heat",data,12,FALSE)</f>
        <v>147200</v>
      </c>
      <c r="E45" s="15">
        <f>VLOOKUP("multiple-hyper heat",data,13,FALSE)</f>
        <v>147200</v>
      </c>
      <c r="F45" s="15"/>
      <c r="G45" s="15"/>
    </row>
    <row r="46" spans="1:131">
      <c r="DO46" s="184" t="str">
        <f>IF(AND(CT52=1,CT51&lt;1),$A51&amp;" to "&amp;$B51,"")</f>
        <v/>
      </c>
    </row>
    <row r="47" spans="1:131">
      <c r="A47" s="184"/>
      <c r="B47" s="184"/>
      <c r="C47" s="184" t="s">
        <v>46</v>
      </c>
      <c r="D47" s="184" t="s">
        <v>47</v>
      </c>
      <c r="G47" s="184"/>
      <c r="EA47" s="184"/>
    </row>
    <row r="48" spans="1:131" s="184" customFormat="1">
      <c r="B48" s="10" t="s">
        <v>17</v>
      </c>
      <c r="C48" s="184">
        <f>HLOOKUP(Local,weather,32,FALSE)</f>
        <v>86</v>
      </c>
      <c r="D48" s="184">
        <v>72</v>
      </c>
    </row>
    <row r="49" spans="1:141" s="184" customFormat="1">
      <c r="B49" s="10" t="s">
        <v>16</v>
      </c>
      <c r="C49" s="184">
        <f>HLOOKUP(Local,weather,33,FALSE)</f>
        <v>4</v>
      </c>
      <c r="D49" s="184">
        <v>68</v>
      </c>
      <c r="E49" s="483" t="s">
        <v>20</v>
      </c>
      <c r="F49" s="474"/>
      <c r="G49" s="474"/>
      <c r="H49" s="475"/>
    </row>
    <row r="50" spans="1:141">
      <c r="A50" s="476" t="s">
        <v>1</v>
      </c>
      <c r="B50" s="476"/>
      <c r="C50" s="9" t="s">
        <v>52</v>
      </c>
      <c r="D50" s="9" t="s">
        <v>2</v>
      </c>
      <c r="E50" s="9" t="s">
        <v>137</v>
      </c>
      <c r="F50" s="307" t="s">
        <v>7</v>
      </c>
      <c r="G50" s="307" t="s">
        <v>21</v>
      </c>
      <c r="H50" s="307" t="s">
        <v>50</v>
      </c>
      <c r="I50" s="326" t="s">
        <v>250</v>
      </c>
      <c r="J50" s="327" t="s">
        <v>251</v>
      </c>
      <c r="K50" s="327" t="s">
        <v>252</v>
      </c>
      <c r="L50" s="327" t="s">
        <v>253</v>
      </c>
      <c r="M50" s="327" t="s">
        <v>254</v>
      </c>
      <c r="N50" s="327" t="s">
        <v>255</v>
      </c>
      <c r="O50" s="327" t="s">
        <v>256</v>
      </c>
      <c r="P50" s="327" t="s">
        <v>257</v>
      </c>
      <c r="Q50" s="327" t="s">
        <v>258</v>
      </c>
      <c r="R50" s="327" t="s">
        <v>259</v>
      </c>
      <c r="S50" s="327" t="s">
        <v>260</v>
      </c>
      <c r="T50" s="327" t="s">
        <v>261</v>
      </c>
      <c r="U50" s="327" t="s">
        <v>283</v>
      </c>
      <c r="V50" s="327" t="s">
        <v>284</v>
      </c>
      <c r="W50" s="327" t="s">
        <v>285</v>
      </c>
      <c r="X50" s="327" t="s">
        <v>286</v>
      </c>
      <c r="Y50" s="327" t="s">
        <v>287</v>
      </c>
      <c r="Z50" s="327" t="s">
        <v>445</v>
      </c>
      <c r="AA50" s="327" t="s">
        <v>245</v>
      </c>
      <c r="AB50" s="327" t="s">
        <v>246</v>
      </c>
      <c r="AC50" s="327" t="s">
        <v>247</v>
      </c>
      <c r="AD50" s="327" t="s">
        <v>248</v>
      </c>
      <c r="AE50" s="327" t="s">
        <v>249</v>
      </c>
      <c r="AF50" s="327" t="s">
        <v>288</v>
      </c>
      <c r="AG50" s="327" t="s">
        <v>11</v>
      </c>
      <c r="AH50" s="327" t="s">
        <v>12</v>
      </c>
      <c r="AI50" s="327" t="s">
        <v>13</v>
      </c>
      <c r="AJ50" s="327" t="s">
        <v>292</v>
      </c>
      <c r="AK50" s="327" t="s">
        <v>451</v>
      </c>
      <c r="AL50" s="327" t="s">
        <v>452</v>
      </c>
      <c r="AM50" s="327" t="s">
        <v>453</v>
      </c>
      <c r="AN50" s="327" t="s">
        <v>454</v>
      </c>
      <c r="AO50" s="327" t="s">
        <v>347</v>
      </c>
      <c r="AP50" s="327" t="s">
        <v>348</v>
      </c>
      <c r="AQ50" s="327" t="s">
        <v>349</v>
      </c>
      <c r="AR50" s="327" t="s">
        <v>350</v>
      </c>
      <c r="AS50" s="327" t="s">
        <v>351</v>
      </c>
      <c r="AT50" s="327" t="s">
        <v>352</v>
      </c>
      <c r="AU50" s="327" t="s">
        <v>442</v>
      </c>
      <c r="AV50" s="327" t="s">
        <v>443</v>
      </c>
      <c r="AW50" s="327" t="s">
        <v>444</v>
      </c>
      <c r="AX50" s="327" t="s">
        <v>365</v>
      </c>
      <c r="AY50" s="328" t="s">
        <v>372</v>
      </c>
      <c r="AZ50" s="326" t="s">
        <v>250</v>
      </c>
      <c r="BA50" s="327" t="s">
        <v>251</v>
      </c>
      <c r="BB50" s="327" t="s">
        <v>252</v>
      </c>
      <c r="BC50" s="327" t="s">
        <v>253</v>
      </c>
      <c r="BD50" s="327" t="s">
        <v>254</v>
      </c>
      <c r="BE50" s="327" t="s">
        <v>255</v>
      </c>
      <c r="BF50" s="327" t="s">
        <v>256</v>
      </c>
      <c r="BG50" s="327" t="s">
        <v>257</v>
      </c>
      <c r="BH50" s="327" t="s">
        <v>258</v>
      </c>
      <c r="BI50" s="327" t="s">
        <v>259</v>
      </c>
      <c r="BJ50" s="327" t="s">
        <v>260</v>
      </c>
      <c r="BK50" s="327" t="s">
        <v>261</v>
      </c>
      <c r="BL50" s="327" t="s">
        <v>283</v>
      </c>
      <c r="BM50" s="327" t="s">
        <v>284</v>
      </c>
      <c r="BN50" s="327" t="s">
        <v>285</v>
      </c>
      <c r="BO50" s="327" t="s">
        <v>286</v>
      </c>
      <c r="BP50" s="327" t="s">
        <v>287</v>
      </c>
      <c r="BQ50" s="327" t="s">
        <v>445</v>
      </c>
      <c r="BR50" s="327" t="s">
        <v>245</v>
      </c>
      <c r="BS50" s="327" t="s">
        <v>246</v>
      </c>
      <c r="BT50" s="327" t="s">
        <v>247</v>
      </c>
      <c r="BU50" s="327" t="s">
        <v>248</v>
      </c>
      <c r="BV50" s="327" t="s">
        <v>249</v>
      </c>
      <c r="BW50" s="327" t="s">
        <v>288</v>
      </c>
      <c r="BX50" s="327" t="s">
        <v>11</v>
      </c>
      <c r="BY50" s="327" t="s">
        <v>12</v>
      </c>
      <c r="BZ50" s="327" t="s">
        <v>13</v>
      </c>
      <c r="CA50" s="327" t="s">
        <v>292</v>
      </c>
      <c r="CB50" s="327" t="s">
        <v>451</v>
      </c>
      <c r="CC50" s="327" t="s">
        <v>452</v>
      </c>
      <c r="CD50" s="327" t="s">
        <v>453</v>
      </c>
      <c r="CE50" s="327" t="s">
        <v>454</v>
      </c>
      <c r="CF50" s="327" t="s">
        <v>347</v>
      </c>
      <c r="CG50" s="327" t="s">
        <v>348</v>
      </c>
      <c r="CH50" s="327" t="s">
        <v>349</v>
      </c>
      <c r="CI50" s="327" t="s">
        <v>350</v>
      </c>
      <c r="CJ50" s="327" t="s">
        <v>351</v>
      </c>
      <c r="CK50" s="327" t="s">
        <v>352</v>
      </c>
      <c r="CL50" s="327" t="s">
        <v>442</v>
      </c>
      <c r="CM50" s="327" t="s">
        <v>443</v>
      </c>
      <c r="CN50" s="327" t="s">
        <v>444</v>
      </c>
      <c r="CO50" s="327" t="s">
        <v>365</v>
      </c>
      <c r="CP50" s="329" t="s">
        <v>372</v>
      </c>
      <c r="CQ50" s="327" t="s">
        <v>366</v>
      </c>
      <c r="CR50" s="327" t="s">
        <v>370</v>
      </c>
      <c r="CS50" s="330" t="s">
        <v>21</v>
      </c>
      <c r="CT50" s="326" t="s">
        <v>250</v>
      </c>
      <c r="CU50" s="327" t="s">
        <v>251</v>
      </c>
      <c r="CV50" s="327" t="s">
        <v>252</v>
      </c>
      <c r="CW50" s="327" t="s">
        <v>253</v>
      </c>
      <c r="CX50" s="327" t="s">
        <v>254</v>
      </c>
      <c r="CY50" s="327" t="s">
        <v>255</v>
      </c>
      <c r="CZ50" s="327" t="s">
        <v>256</v>
      </c>
      <c r="DA50" s="327" t="s">
        <v>257</v>
      </c>
      <c r="DB50" s="327" t="s">
        <v>258</v>
      </c>
      <c r="DC50" s="327" t="s">
        <v>259</v>
      </c>
      <c r="DD50" s="327" t="s">
        <v>260</v>
      </c>
      <c r="DE50" s="327" t="s">
        <v>261</v>
      </c>
      <c r="DF50" s="327" t="s">
        <v>283</v>
      </c>
      <c r="DG50" s="327" t="s">
        <v>284</v>
      </c>
      <c r="DH50" s="327" t="s">
        <v>285</v>
      </c>
      <c r="DI50" s="327" t="s">
        <v>286</v>
      </c>
      <c r="DJ50" s="327" t="s">
        <v>287</v>
      </c>
      <c r="DK50" s="327" t="s">
        <v>445</v>
      </c>
      <c r="DL50" s="327" t="s">
        <v>245</v>
      </c>
      <c r="DM50" s="327" t="s">
        <v>246</v>
      </c>
      <c r="DN50" s="327" t="s">
        <v>247</v>
      </c>
      <c r="DO50" s="327" t="s">
        <v>248</v>
      </c>
      <c r="DP50" s="327" t="s">
        <v>249</v>
      </c>
      <c r="DQ50" s="327" t="s">
        <v>288</v>
      </c>
      <c r="DR50" s="327" t="s">
        <v>11</v>
      </c>
      <c r="DS50" s="327" t="s">
        <v>12</v>
      </c>
      <c r="DT50" s="327" t="s">
        <v>13</v>
      </c>
      <c r="DU50" s="327" t="s">
        <v>292</v>
      </c>
      <c r="DV50" s="327" t="s">
        <v>451</v>
      </c>
      <c r="DW50" s="327" t="s">
        <v>452</v>
      </c>
      <c r="DX50" s="327" t="s">
        <v>453</v>
      </c>
      <c r="DY50" s="327" t="s">
        <v>454</v>
      </c>
      <c r="DZ50" s="327" t="s">
        <v>347</v>
      </c>
      <c r="EA50" s="327" t="s">
        <v>348</v>
      </c>
      <c r="EB50" s="327" t="s">
        <v>349</v>
      </c>
      <c r="EC50" s="327" t="s">
        <v>350</v>
      </c>
      <c r="ED50" s="327" t="s">
        <v>351</v>
      </c>
      <c r="EE50" s="327" t="s">
        <v>352</v>
      </c>
      <c r="EF50" s="327" t="s">
        <v>442</v>
      </c>
      <c r="EG50" s="327" t="s">
        <v>443</v>
      </c>
      <c r="EH50" s="327" t="s">
        <v>444</v>
      </c>
      <c r="EI50" s="327" t="s">
        <v>365</v>
      </c>
      <c r="EJ50" s="329" t="s">
        <v>372</v>
      </c>
      <c r="EK50" s="330" t="s">
        <v>366</v>
      </c>
    </row>
    <row r="51" spans="1:141">
      <c r="A51" s="27">
        <v>-30</v>
      </c>
      <c r="B51" s="27">
        <v>-25</v>
      </c>
      <c r="C51" s="21">
        <f t="shared" ref="C51:C54" si="0">(A51+B51)/2</f>
        <v>-27.5</v>
      </c>
      <c r="D51" s="20">
        <f t="shared" ref="D51:D80" si="1">HLOOKUP(Local,weather,MATCH(C51,binavg,0),FALSE)</f>
        <v>0</v>
      </c>
      <c r="E51" s="184">
        <v>1</v>
      </c>
      <c r="F51" s="144">
        <f t="shared" ref="F51:F56" si="2">F52*0.95</f>
        <v>1.4392731672492185</v>
      </c>
      <c r="G51" s="283">
        <f>IF(($D$49-C51)&lt;5,0,IF(($D$49-C51)&gt;=($D$49-$C$49),1,MAX(0,MIN(1,(($D$49-8)-C51)/($D$49-($C$49-5))))))</f>
        <v>1</v>
      </c>
      <c r="H51" s="23">
        <f t="shared" ref="H51:H80" si="3">G51*heat_load</f>
        <v>45000</v>
      </c>
      <c r="I51" s="119">
        <f t="shared" ref="I51:AY51" si="4">HLOOKUP(I$50,loadcorr,2,FALSE)</f>
        <v>0</v>
      </c>
      <c r="J51" s="120">
        <f t="shared" si="4"/>
        <v>0</v>
      </c>
      <c r="K51" s="120">
        <f t="shared" si="4"/>
        <v>0</v>
      </c>
      <c r="L51" s="120">
        <f t="shared" si="4"/>
        <v>0</v>
      </c>
      <c r="M51" s="120">
        <f t="shared" si="4"/>
        <v>0</v>
      </c>
      <c r="N51" s="120">
        <f t="shared" si="4"/>
        <v>0</v>
      </c>
      <c r="O51" s="120">
        <f t="shared" si="4"/>
        <v>0</v>
      </c>
      <c r="P51" s="120">
        <f t="shared" si="4"/>
        <v>0</v>
      </c>
      <c r="Q51" s="120">
        <f t="shared" si="4"/>
        <v>0</v>
      </c>
      <c r="R51" s="120">
        <f t="shared" si="4"/>
        <v>0</v>
      </c>
      <c r="S51" s="120">
        <f t="shared" si="4"/>
        <v>0</v>
      </c>
      <c r="T51" s="120">
        <f t="shared" si="4"/>
        <v>0</v>
      </c>
      <c r="U51" s="120">
        <f t="shared" si="4"/>
        <v>0</v>
      </c>
      <c r="V51" s="120">
        <f t="shared" si="4"/>
        <v>0</v>
      </c>
      <c r="W51" s="120">
        <f t="shared" si="4"/>
        <v>0</v>
      </c>
      <c r="X51" s="120">
        <f t="shared" si="4"/>
        <v>0</v>
      </c>
      <c r="Y51" s="120">
        <f t="shared" si="4"/>
        <v>0</v>
      </c>
      <c r="Z51" s="120">
        <f t="shared" si="4"/>
        <v>0</v>
      </c>
      <c r="AA51" s="120">
        <f t="shared" si="4"/>
        <v>0</v>
      </c>
      <c r="AB51" s="120">
        <f t="shared" si="4"/>
        <v>0</v>
      </c>
      <c r="AC51" s="120">
        <f t="shared" si="4"/>
        <v>0</v>
      </c>
      <c r="AD51" s="120">
        <f t="shared" si="4"/>
        <v>0</v>
      </c>
      <c r="AE51" s="120">
        <f t="shared" si="4"/>
        <v>0</v>
      </c>
      <c r="AF51" s="120">
        <f t="shared" si="4"/>
        <v>0</v>
      </c>
      <c r="AG51" s="120">
        <f t="shared" si="4"/>
        <v>0</v>
      </c>
      <c r="AH51" s="120">
        <f t="shared" si="4"/>
        <v>0</v>
      </c>
      <c r="AI51" s="120">
        <f t="shared" si="4"/>
        <v>0</v>
      </c>
      <c r="AJ51" s="120">
        <f t="shared" si="4"/>
        <v>0</v>
      </c>
      <c r="AK51" s="120">
        <f t="shared" si="4"/>
        <v>0</v>
      </c>
      <c r="AL51" s="120">
        <f t="shared" si="4"/>
        <v>0</v>
      </c>
      <c r="AM51" s="120">
        <f t="shared" si="4"/>
        <v>0</v>
      </c>
      <c r="AN51" s="120">
        <f t="shared" si="4"/>
        <v>0</v>
      </c>
      <c r="AO51" s="120">
        <f t="shared" si="4"/>
        <v>0</v>
      </c>
      <c r="AP51" s="120">
        <f t="shared" si="4"/>
        <v>0</v>
      </c>
      <c r="AQ51" s="120">
        <f t="shared" si="4"/>
        <v>0</v>
      </c>
      <c r="AR51" s="120">
        <f t="shared" si="4"/>
        <v>0</v>
      </c>
      <c r="AS51" s="120">
        <f t="shared" si="4"/>
        <v>0</v>
      </c>
      <c r="AT51" s="120">
        <f t="shared" si="4"/>
        <v>0</v>
      </c>
      <c r="AU51" s="120">
        <f t="shared" si="4"/>
        <v>0</v>
      </c>
      <c r="AV51" s="120">
        <f t="shared" si="4"/>
        <v>0</v>
      </c>
      <c r="AW51" s="120">
        <f t="shared" si="4"/>
        <v>0</v>
      </c>
      <c r="AX51" s="120">
        <f t="shared" si="4"/>
        <v>0</v>
      </c>
      <c r="AY51" s="304">
        <f t="shared" si="4"/>
        <v>0</v>
      </c>
      <c r="AZ51" s="119">
        <f t="shared" ref="AZ51:CL51" si="5">IF($H51*$D51=0,0,IF(I51&gt;$H51,$H51*$D51*$E51,I51*$D51*$E51))</f>
        <v>0</v>
      </c>
      <c r="BA51" s="120">
        <f t="shared" si="5"/>
        <v>0</v>
      </c>
      <c r="BB51" s="120">
        <f t="shared" si="5"/>
        <v>0</v>
      </c>
      <c r="BC51" s="120">
        <f t="shared" si="5"/>
        <v>0</v>
      </c>
      <c r="BD51" s="120">
        <f t="shared" si="5"/>
        <v>0</v>
      </c>
      <c r="BE51" s="120">
        <f t="shared" si="5"/>
        <v>0</v>
      </c>
      <c r="BF51" s="120">
        <f t="shared" si="5"/>
        <v>0</v>
      </c>
      <c r="BG51" s="120">
        <f t="shared" si="5"/>
        <v>0</v>
      </c>
      <c r="BH51" s="120">
        <f t="shared" si="5"/>
        <v>0</v>
      </c>
      <c r="BI51" s="120">
        <f t="shared" si="5"/>
        <v>0</v>
      </c>
      <c r="BJ51" s="120">
        <f t="shared" si="5"/>
        <v>0</v>
      </c>
      <c r="BK51" s="120">
        <f t="shared" si="5"/>
        <v>0</v>
      </c>
      <c r="BL51" s="120">
        <f t="shared" si="5"/>
        <v>0</v>
      </c>
      <c r="BM51" s="120">
        <f t="shared" si="5"/>
        <v>0</v>
      </c>
      <c r="BN51" s="120">
        <f t="shared" si="5"/>
        <v>0</v>
      </c>
      <c r="BO51" s="120">
        <f t="shared" si="5"/>
        <v>0</v>
      </c>
      <c r="BP51" s="120">
        <f t="shared" si="5"/>
        <v>0</v>
      </c>
      <c r="BQ51" s="120">
        <f t="shared" si="5"/>
        <v>0</v>
      </c>
      <c r="BR51" s="120">
        <f t="shared" si="5"/>
        <v>0</v>
      </c>
      <c r="BS51" s="120">
        <f t="shared" si="5"/>
        <v>0</v>
      </c>
      <c r="BT51" s="120">
        <f t="shared" si="5"/>
        <v>0</v>
      </c>
      <c r="BU51" s="120">
        <f t="shared" si="5"/>
        <v>0</v>
      </c>
      <c r="BV51" s="120">
        <f t="shared" si="5"/>
        <v>0</v>
      </c>
      <c r="BW51" s="120">
        <f t="shared" si="5"/>
        <v>0</v>
      </c>
      <c r="BX51" s="120">
        <f t="shared" si="5"/>
        <v>0</v>
      </c>
      <c r="BY51" s="120">
        <f t="shared" si="5"/>
        <v>0</v>
      </c>
      <c r="BZ51" s="120">
        <f t="shared" si="5"/>
        <v>0</v>
      </c>
      <c r="CA51" s="120">
        <f t="shared" si="5"/>
        <v>0</v>
      </c>
      <c r="CB51" s="120">
        <f t="shared" si="5"/>
        <v>0</v>
      </c>
      <c r="CC51" s="120">
        <f t="shared" si="5"/>
        <v>0</v>
      </c>
      <c r="CD51" s="120">
        <f t="shared" si="5"/>
        <v>0</v>
      </c>
      <c r="CE51" s="120">
        <f t="shared" si="5"/>
        <v>0</v>
      </c>
      <c r="CF51" s="120">
        <f t="shared" si="5"/>
        <v>0</v>
      </c>
      <c r="CG51" s="120">
        <f t="shared" si="5"/>
        <v>0</v>
      </c>
      <c r="CH51" s="120">
        <f t="shared" si="5"/>
        <v>0</v>
      </c>
      <c r="CI51" s="120">
        <f t="shared" si="5"/>
        <v>0</v>
      </c>
      <c r="CJ51" s="120">
        <f t="shared" si="5"/>
        <v>0</v>
      </c>
      <c r="CK51" s="120">
        <f t="shared" si="5"/>
        <v>0</v>
      </c>
      <c r="CL51" s="120">
        <f t="shared" si="5"/>
        <v>0</v>
      </c>
      <c r="CM51" s="120">
        <f t="shared" ref="CL51:CN66" si="6">IF($H51*$D51=0,0,IF(AV51&gt;$H51,$H51*$D51*$E51,AV51*$D51*$E51))</f>
        <v>0</v>
      </c>
      <c r="CN51" s="120">
        <f t="shared" si="6"/>
        <v>0</v>
      </c>
      <c r="CO51" s="120">
        <f t="shared" ref="CO51:CO80" si="7">IF($H51*$D51=0,0,IF(AX51&gt;$H51,$H51*$D51*$E51,AX51*$D51*$E51))</f>
        <v>0</v>
      </c>
      <c r="CP51" s="120">
        <f t="shared" ref="CP51:CP80" si="8">IF($H51*$D51=0,0,IF(AY51&gt;$H51,$H51*$D51*$E51,AY51*$D51*$E51))</f>
        <v>0</v>
      </c>
      <c r="CQ51" s="120">
        <f>IF($H51*$D51=0,0,$H51*$D51*$E51)</f>
        <v>0</v>
      </c>
      <c r="CR51" s="120">
        <f>SUM(CQ51:CQ80)</f>
        <v>57435177.865612641</v>
      </c>
      <c r="CS51" s="321">
        <f t="shared" ref="CS51:CS80" si="9">CR51/$CQ$81</f>
        <v>1</v>
      </c>
      <c r="CT51" s="319">
        <f t="shared" ref="CT51:CT80" si="10">IF($CQ51=0,0,AZ51/$CQ51)</f>
        <v>0</v>
      </c>
      <c r="CU51" s="320">
        <f t="shared" ref="CU51:CU80" si="11">IF($CQ51=0,0,BA51/$CQ51)</f>
        <v>0</v>
      </c>
      <c r="CV51" s="320">
        <f t="shared" ref="CV51:CV80" si="12">IF($CQ51=0,0,BB51/$CQ51)</f>
        <v>0</v>
      </c>
      <c r="CW51" s="320">
        <f t="shared" ref="CW51:CW80" si="13">IF($CQ51=0,0,BC51/$CQ51)</f>
        <v>0</v>
      </c>
      <c r="CX51" s="320">
        <f t="shared" ref="CX51:CX80" si="14">IF($CQ51=0,0,BD51/$CQ51)</f>
        <v>0</v>
      </c>
      <c r="CY51" s="320">
        <f t="shared" ref="CY51:CY80" si="15">IF($CQ51=0,0,BE51/$CQ51)</f>
        <v>0</v>
      </c>
      <c r="CZ51" s="320">
        <f t="shared" ref="CZ51:CZ80" si="16">IF($CQ51=0,0,BF51/$CQ51)</f>
        <v>0</v>
      </c>
      <c r="DA51" s="320">
        <f t="shared" ref="DA51:DA80" si="17">IF($CQ51=0,0,BG51/$CQ51)</f>
        <v>0</v>
      </c>
      <c r="DB51" s="320">
        <f t="shared" ref="DB51:DB80" si="18">IF($CQ51=0,0,BH51/$CQ51)</f>
        <v>0</v>
      </c>
      <c r="DC51" s="320">
        <f t="shared" ref="DC51:DC80" si="19">IF($CQ51=0,0,BI51/$CQ51)</f>
        <v>0</v>
      </c>
      <c r="DD51" s="320">
        <f t="shared" ref="DD51:DD80" si="20">IF($CQ51=0,0,BJ51/$CQ51)</f>
        <v>0</v>
      </c>
      <c r="DE51" s="320">
        <f t="shared" ref="DE51:DE80" si="21">IF($CQ51=0,0,BK51/$CQ51)</f>
        <v>0</v>
      </c>
      <c r="DF51" s="320">
        <f t="shared" ref="DF51:DF80" si="22">IF($CQ51=0,0,BL51/$CQ51)</f>
        <v>0</v>
      </c>
      <c r="DG51" s="320">
        <f t="shared" ref="DG51:DG80" si="23">IF($CQ51=0,0,BM51/$CQ51)</f>
        <v>0</v>
      </c>
      <c r="DH51" s="320">
        <f t="shared" ref="DH51:DH80" si="24">IF($CQ51=0,0,BN51/$CQ51)</f>
        <v>0</v>
      </c>
      <c r="DI51" s="320">
        <f t="shared" ref="DI51:DI80" si="25">IF($CQ51=0,0,BO51/$CQ51)</f>
        <v>0</v>
      </c>
      <c r="DJ51" s="320">
        <f t="shared" ref="DJ51:DJ80" si="26">IF($CQ51=0,0,BP51/$CQ51)</f>
        <v>0</v>
      </c>
      <c r="DK51" s="320">
        <f t="shared" ref="DK51:DK80" si="27">IF($CQ51=0,0,BQ51/$CQ51)</f>
        <v>0</v>
      </c>
      <c r="DL51" s="320">
        <f t="shared" ref="DL51:DL80" si="28">IF($CQ51=0,0,BR51/$CQ51)</f>
        <v>0</v>
      </c>
      <c r="DM51" s="320">
        <f t="shared" ref="DM51:DM80" si="29">IF($CQ51=0,0,BS51/$CQ51)</f>
        <v>0</v>
      </c>
      <c r="DN51" s="320">
        <f t="shared" ref="DN51:DN80" si="30">IF($CQ51=0,0,BT51/$CQ51)</f>
        <v>0</v>
      </c>
      <c r="DO51" s="320">
        <f t="shared" ref="DO51:DO80" si="31">IF($CQ51=0,0,BU51/$CQ51)</f>
        <v>0</v>
      </c>
      <c r="DP51" s="320">
        <f t="shared" ref="DP51:DP80" si="32">IF($CQ51=0,0,BV51/$CQ51)</f>
        <v>0</v>
      </c>
      <c r="DQ51" s="320">
        <f t="shared" ref="DQ51:DQ80" si="33">IF($CQ51=0,0,BW51/$CQ51)</f>
        <v>0</v>
      </c>
      <c r="DR51" s="320">
        <f t="shared" ref="DR51:DR80" si="34">IF($CQ51=0,0,BX51/$CQ51)</f>
        <v>0</v>
      </c>
      <c r="DS51" s="320">
        <f t="shared" ref="DS51:DS80" si="35">IF($CQ51=0,0,BY51/$CQ51)</f>
        <v>0</v>
      </c>
      <c r="DT51" s="320">
        <f t="shared" ref="DT51:DT80" si="36">IF($CQ51=0,0,BZ51/$CQ51)</f>
        <v>0</v>
      </c>
      <c r="DU51" s="320">
        <f t="shared" ref="DU51:DU80" si="37">IF($CQ51=0,0,CA51/$CQ51)</f>
        <v>0</v>
      </c>
      <c r="DV51" s="320">
        <f t="shared" ref="DV51:DV80" si="38">IF($CQ51=0,0,CB51/$CQ51)</f>
        <v>0</v>
      </c>
      <c r="DW51" s="320">
        <f t="shared" ref="DW51:DW80" si="39">IF($CQ51=0,0,CC51/$CQ51)</f>
        <v>0</v>
      </c>
      <c r="DX51" s="320">
        <f t="shared" ref="DX51:DX80" si="40">IF($CQ51=0,0,CD51/$CQ51)</f>
        <v>0</v>
      </c>
      <c r="DY51" s="320">
        <f t="shared" ref="DY51:DY80" si="41">IF($CQ51=0,0,CE51/$CQ51)</f>
        <v>0</v>
      </c>
      <c r="DZ51" s="320">
        <f t="shared" ref="DZ51:DZ80" si="42">IF($CQ51=0,0,CF51/$CQ51)</f>
        <v>0</v>
      </c>
      <c r="EA51" s="320">
        <f t="shared" ref="EA51:EA80" si="43">IF($CQ51=0,0,CG51/$CQ51)</f>
        <v>0</v>
      </c>
      <c r="EB51" s="320">
        <f t="shared" ref="EB51:EB80" si="44">IF($CQ51=0,0,CH51/$CQ51)</f>
        <v>0</v>
      </c>
      <c r="EC51" s="320">
        <f t="shared" ref="EC51:EC80" si="45">IF($CQ51=0,0,CI51/$CQ51)</f>
        <v>0</v>
      </c>
      <c r="ED51" s="320">
        <f t="shared" ref="ED51:ED80" si="46">IF($CQ51=0,0,CJ51/$CQ51)</f>
        <v>0</v>
      </c>
      <c r="EE51" s="320">
        <f t="shared" ref="EE51:EE80" si="47">IF($CQ51=0,0,CK51/$CQ51)</f>
        <v>0</v>
      </c>
      <c r="EF51" s="320">
        <f t="shared" ref="EF51:EH66" si="48">IF($CQ51=0,0,CL51/$CQ51)</f>
        <v>0</v>
      </c>
      <c r="EG51" s="320">
        <f t="shared" si="48"/>
        <v>0</v>
      </c>
      <c r="EH51" s="320">
        <f t="shared" si="48"/>
        <v>0</v>
      </c>
      <c r="EI51" s="320">
        <f t="shared" ref="EI51:EI80" si="49">IF($CQ51=0,0,CO51/$CQ51)</f>
        <v>0</v>
      </c>
      <c r="EJ51" s="320">
        <f t="shared" ref="EJ51:EJ80" si="50">IF($CQ51=0,0,CP51/$CQ51)</f>
        <v>0</v>
      </c>
      <c r="EK51" s="321">
        <f t="shared" ref="EK51:EK80" si="51">IF($CQ51=0,0,CQ51/$CQ51)</f>
        <v>0</v>
      </c>
    </row>
    <row r="52" spans="1:141">
      <c r="A52" s="27">
        <v>-25</v>
      </c>
      <c r="B52" s="27">
        <v>-20</v>
      </c>
      <c r="C52" s="21">
        <f t="shared" si="0"/>
        <v>-22.5</v>
      </c>
      <c r="D52" s="21">
        <f t="shared" si="1"/>
        <v>0</v>
      </c>
      <c r="E52" s="184">
        <v>1</v>
      </c>
      <c r="F52" s="144">
        <f t="shared" si="2"/>
        <v>1.5150243865781248</v>
      </c>
      <c r="G52" s="283">
        <f t="shared" ref="G52:G80" si="52">IF(($D$49-C52)&lt;5,0,IF(($D$49-C52)&gt;=($D$49-$C$49),1,MAX(0,MIN(1,(($D$49-8)-C52)/($D$49-($C$49-5))))))</f>
        <v>1</v>
      </c>
      <c r="H52" s="23">
        <f t="shared" si="3"/>
        <v>45000</v>
      </c>
      <c r="I52" s="119">
        <f t="shared" ref="I52:AY52" si="53">HLOOKUP(I$50,loadcorr,12,FALSE)</f>
        <v>0</v>
      </c>
      <c r="J52" s="120">
        <f t="shared" si="53"/>
        <v>0</v>
      </c>
      <c r="K52" s="120">
        <f t="shared" si="53"/>
        <v>0</v>
      </c>
      <c r="L52" s="120">
        <f t="shared" si="53"/>
        <v>0</v>
      </c>
      <c r="M52" s="120">
        <f t="shared" si="53"/>
        <v>0</v>
      </c>
      <c r="N52" s="120">
        <f t="shared" si="53"/>
        <v>0</v>
      </c>
      <c r="O52" s="120">
        <f t="shared" si="53"/>
        <v>0</v>
      </c>
      <c r="P52" s="120">
        <f t="shared" si="53"/>
        <v>0</v>
      </c>
      <c r="Q52" s="120">
        <f t="shared" si="53"/>
        <v>0</v>
      </c>
      <c r="R52" s="120">
        <f t="shared" si="53"/>
        <v>0</v>
      </c>
      <c r="S52" s="120">
        <f t="shared" si="53"/>
        <v>0</v>
      </c>
      <c r="T52" s="120">
        <f t="shared" si="53"/>
        <v>0</v>
      </c>
      <c r="U52" s="120">
        <f t="shared" si="53"/>
        <v>0</v>
      </c>
      <c r="V52" s="120">
        <f t="shared" si="53"/>
        <v>0</v>
      </c>
      <c r="W52" s="120">
        <f t="shared" si="53"/>
        <v>0</v>
      </c>
      <c r="X52" s="120">
        <f t="shared" si="53"/>
        <v>0</v>
      </c>
      <c r="Y52" s="120">
        <f t="shared" si="53"/>
        <v>0</v>
      </c>
      <c r="Z52" s="120">
        <f t="shared" si="53"/>
        <v>0</v>
      </c>
      <c r="AA52" s="120">
        <f t="shared" si="53"/>
        <v>0</v>
      </c>
      <c r="AB52" s="120">
        <f t="shared" si="53"/>
        <v>0</v>
      </c>
      <c r="AC52" s="120">
        <f t="shared" si="53"/>
        <v>0</v>
      </c>
      <c r="AD52" s="120">
        <f t="shared" si="53"/>
        <v>0</v>
      </c>
      <c r="AE52" s="120">
        <f t="shared" ref="AE52:AX52" si="54">HLOOKUP(AE$50,loadcorr,12,FALSE)</f>
        <v>0</v>
      </c>
      <c r="AF52" s="120">
        <f t="shared" si="54"/>
        <v>0</v>
      </c>
      <c r="AG52" s="120">
        <f t="shared" si="54"/>
        <v>0</v>
      </c>
      <c r="AH52" s="120">
        <f t="shared" si="54"/>
        <v>0</v>
      </c>
      <c r="AI52" s="120">
        <f t="shared" si="54"/>
        <v>0</v>
      </c>
      <c r="AJ52" s="120">
        <f t="shared" si="54"/>
        <v>0</v>
      </c>
      <c r="AK52" s="120">
        <f t="shared" si="54"/>
        <v>0</v>
      </c>
      <c r="AL52" s="120">
        <f t="shared" si="54"/>
        <v>0</v>
      </c>
      <c r="AM52" s="120">
        <f t="shared" si="54"/>
        <v>0</v>
      </c>
      <c r="AN52" s="120">
        <f t="shared" si="54"/>
        <v>0</v>
      </c>
      <c r="AO52" s="120">
        <f t="shared" si="54"/>
        <v>0</v>
      </c>
      <c r="AP52" s="120">
        <f t="shared" si="54"/>
        <v>0</v>
      </c>
      <c r="AQ52" s="120">
        <f t="shared" si="54"/>
        <v>0</v>
      </c>
      <c r="AR52" s="120">
        <f t="shared" si="54"/>
        <v>0</v>
      </c>
      <c r="AS52" s="120">
        <f t="shared" si="54"/>
        <v>0</v>
      </c>
      <c r="AT52" s="120">
        <f t="shared" si="54"/>
        <v>0</v>
      </c>
      <c r="AU52" s="120">
        <f t="shared" si="54"/>
        <v>0</v>
      </c>
      <c r="AV52" s="120">
        <f t="shared" si="54"/>
        <v>0</v>
      </c>
      <c r="AW52" s="120">
        <f t="shared" si="54"/>
        <v>0</v>
      </c>
      <c r="AX52" s="120">
        <f t="shared" si="54"/>
        <v>0</v>
      </c>
      <c r="AY52" s="304">
        <f t="shared" si="53"/>
        <v>0</v>
      </c>
      <c r="AZ52" s="119">
        <f t="shared" ref="AZ52:AZ80" si="55">IF($H52*$D52=0,0,IF(I52&gt;$H52,$H52*$D52*$E52,I52*$D52*$E52))</f>
        <v>0</v>
      </c>
      <c r="BA52" s="120">
        <f t="shared" ref="BA52:BA80" si="56">IF($H52*$D52=0,0,IF(J52&gt;$H52,$H52*$D52*$E52,J52*$D52*$E52))</f>
        <v>0</v>
      </c>
      <c r="BB52" s="120">
        <f t="shared" ref="BB52:BB80" si="57">IF($H52*$D52=0,0,IF(K52&gt;$H52,$H52*$D52*$E52,K52*$D52*$E52))</f>
        <v>0</v>
      </c>
      <c r="BC52" s="120">
        <f t="shared" ref="BC52:BC80" si="58">IF($H52*$D52=0,0,IF(L52&gt;$H52,$H52*$D52*$E52,L52*$D52*$E52))</f>
        <v>0</v>
      </c>
      <c r="BD52" s="120">
        <f t="shared" ref="BD52:BD80" si="59">IF($H52*$D52=0,0,IF(M52&gt;$H52,$H52*$D52*$E52,M52*$D52*$E52))</f>
        <v>0</v>
      </c>
      <c r="BE52" s="120">
        <f t="shared" ref="BE52:BE80" si="60">IF($H52*$D52=0,0,IF(N52&gt;$H52,$H52*$D52*$E52,N52*$D52*$E52))</f>
        <v>0</v>
      </c>
      <c r="BF52" s="120">
        <f t="shared" ref="BF52:BF80" si="61">IF($H52*$D52=0,0,IF(O52&gt;$H52,$H52*$D52*$E52,O52*$D52*$E52))</f>
        <v>0</v>
      </c>
      <c r="BG52" s="120">
        <f t="shared" ref="BG52:BG80" si="62">IF($H52*$D52=0,0,IF(P52&gt;$H52,$H52*$D52*$E52,P52*$D52*$E52))</f>
        <v>0</v>
      </c>
      <c r="BH52" s="120">
        <f t="shared" ref="BH52:BH80" si="63">IF($H52*$D52=0,0,IF(Q52&gt;$H52,$H52*$D52*$E52,Q52*$D52*$E52))</f>
        <v>0</v>
      </c>
      <c r="BI52" s="120">
        <f t="shared" ref="BI52:BI80" si="64">IF($H52*$D52=0,0,IF(R52&gt;$H52,$H52*$D52*$E52,R52*$D52*$E52))</f>
        <v>0</v>
      </c>
      <c r="BJ52" s="120">
        <f t="shared" ref="BJ52:BJ80" si="65">IF($H52*$D52=0,0,IF(S52&gt;$H52,$H52*$D52*$E52,S52*$D52*$E52))</f>
        <v>0</v>
      </c>
      <c r="BK52" s="120">
        <f t="shared" ref="BK52:BK80" si="66">IF($H52*$D52=0,0,IF(T52&gt;$H52,$H52*$D52*$E52,T52*$D52*$E52))</f>
        <v>0</v>
      </c>
      <c r="BL52" s="120">
        <f t="shared" ref="BL52:BL80" si="67">IF($H52*$D52=0,0,IF(U52&gt;$H52,$H52*$D52*$E52,U52*$D52*$E52))</f>
        <v>0</v>
      </c>
      <c r="BM52" s="120">
        <f t="shared" ref="BM52:BM80" si="68">IF($H52*$D52=0,0,IF(V52&gt;$H52,$H52*$D52*$E52,V52*$D52*$E52))</f>
        <v>0</v>
      </c>
      <c r="BN52" s="120">
        <f t="shared" ref="BN52:BN80" si="69">IF($H52*$D52=0,0,IF(W52&gt;$H52,$H52*$D52*$E52,W52*$D52*$E52))</f>
        <v>0</v>
      </c>
      <c r="BO52" s="120">
        <f t="shared" ref="BO52:BO80" si="70">IF($H52*$D52=0,0,IF(X52&gt;$H52,$H52*$D52*$E52,X52*$D52*$E52))</f>
        <v>0</v>
      </c>
      <c r="BP52" s="120">
        <f t="shared" ref="BP52:BP80" si="71">IF($H52*$D52=0,0,IF(Y52&gt;$H52,$H52*$D52*$E52,Y52*$D52*$E52))</f>
        <v>0</v>
      </c>
      <c r="BQ52" s="120">
        <f t="shared" ref="BQ52:BQ80" si="72">IF($H52*$D52=0,0,IF(Z52&gt;$H52,$H52*$D52*$E52,Z52*$D52*$E52))</f>
        <v>0</v>
      </c>
      <c r="BR52" s="120">
        <f t="shared" ref="BR52:BR80" si="73">IF($H52*$D52=0,0,IF(AA52&gt;$H52,$H52*$D52*$E52,AA52*$D52*$E52))</f>
        <v>0</v>
      </c>
      <c r="BS52" s="120">
        <f t="shared" ref="BS52:BS80" si="74">IF($H52*$D52=0,0,IF(AB52&gt;$H52,$H52*$D52*$E52,AB52*$D52*$E52))</f>
        <v>0</v>
      </c>
      <c r="BT52" s="120">
        <f t="shared" ref="BT52:BT80" si="75">IF($H52*$D52=0,0,IF(AC52&gt;$H52,$H52*$D52*$E52,AC52*$D52*$E52))</f>
        <v>0</v>
      </c>
      <c r="BU52" s="120">
        <f t="shared" ref="BU52:BU80" si="76">IF($H52*$D52=0,0,IF(AD52&gt;$H52,$H52*$D52*$E52,AD52*$D52*$E52))</f>
        <v>0</v>
      </c>
      <c r="BV52" s="120">
        <f t="shared" ref="BV52:BV80" si="77">IF($H52*$D52=0,0,IF(AE52&gt;$H52,$H52*$D52*$E52,AE52*$D52*$E52))</f>
        <v>0</v>
      </c>
      <c r="BW52" s="120">
        <f t="shared" ref="BW52:BW80" si="78">IF($H52*$D52=0,0,IF(AF52&gt;$H52,$H52*$D52*$E52,AF52*$D52*$E52))</f>
        <v>0</v>
      </c>
      <c r="BX52" s="120">
        <f t="shared" ref="BX52:BX80" si="79">IF($H52*$D52=0,0,IF(AG52&gt;$H52,$H52*$D52*$E52,AG52*$D52*$E52))</f>
        <v>0</v>
      </c>
      <c r="BY52" s="120">
        <f t="shared" ref="BY52:BY80" si="80">IF($H52*$D52=0,0,IF(AH52&gt;$H52,$H52*$D52*$E52,AH52*$D52*$E52))</f>
        <v>0</v>
      </c>
      <c r="BZ52" s="120">
        <f t="shared" ref="BZ52:BZ80" si="81">IF($H52*$D52=0,0,IF(AI52&gt;$H52,$H52*$D52*$E52,AI52*$D52*$E52))</f>
        <v>0</v>
      </c>
      <c r="CA52" s="120">
        <f t="shared" ref="CA52:CA80" si="82">IF($H52*$D52=0,0,IF(AJ52&gt;$H52,$H52*$D52*$E52,AJ52*$D52*$E52))</f>
        <v>0</v>
      </c>
      <c r="CB52" s="120">
        <f t="shared" ref="CB52:CB80" si="83">IF($H52*$D52=0,0,IF(AK52&gt;$H52,$H52*$D52*$E52,AK52*$D52*$E52))</f>
        <v>0</v>
      </c>
      <c r="CC52" s="120">
        <f t="shared" ref="CC52:CC80" si="84">IF($H52*$D52=0,0,IF(AL52&gt;$H52,$H52*$D52*$E52,AL52*$D52*$E52))</f>
        <v>0</v>
      </c>
      <c r="CD52" s="120">
        <f t="shared" ref="CD52:CD80" si="85">IF($H52*$D52=0,0,IF(AM52&gt;$H52,$H52*$D52*$E52,AM52*$D52*$E52))</f>
        <v>0</v>
      </c>
      <c r="CE52" s="120">
        <f t="shared" ref="CE52:CE80" si="86">IF($H52*$D52=0,0,IF(AN52&gt;$H52,$H52*$D52*$E52,AN52*$D52*$E52))</f>
        <v>0</v>
      </c>
      <c r="CF52" s="120">
        <f t="shared" ref="CF52:CF80" si="87">IF($H52*$D52=0,0,IF(AO52&gt;$H52,$H52*$D52*$E52,AO52*$D52*$E52))</f>
        <v>0</v>
      </c>
      <c r="CG52" s="120">
        <f t="shared" ref="CG52:CG80" si="88">IF($H52*$D52=0,0,IF(AP52&gt;$H52,$H52*$D52*$E52,AP52*$D52*$E52))</f>
        <v>0</v>
      </c>
      <c r="CH52" s="120">
        <f t="shared" ref="CH52:CH80" si="89">IF($H52*$D52=0,0,IF(AQ52&gt;$H52,$H52*$D52*$E52,AQ52*$D52*$E52))</f>
        <v>0</v>
      </c>
      <c r="CI52" s="120">
        <f t="shared" ref="CI52:CI80" si="90">IF($H52*$D52=0,0,IF(AR52&gt;$H52,$H52*$D52*$E52,AR52*$D52*$E52))</f>
        <v>0</v>
      </c>
      <c r="CJ52" s="120">
        <f t="shared" ref="CJ52:CJ80" si="91">IF($H52*$D52=0,0,IF(AS52&gt;$H52,$H52*$D52*$E52,AS52*$D52*$E52))</f>
        <v>0</v>
      </c>
      <c r="CK52" s="120">
        <f t="shared" ref="CK52:CK80" si="92">IF($H52*$D52=0,0,IF(AT52&gt;$H52,$H52*$D52*$E52,AT52*$D52*$E52))</f>
        <v>0</v>
      </c>
      <c r="CL52" s="120">
        <f t="shared" si="6"/>
        <v>0</v>
      </c>
      <c r="CM52" s="120">
        <f t="shared" si="6"/>
        <v>0</v>
      </c>
      <c r="CN52" s="120">
        <f t="shared" si="6"/>
        <v>0</v>
      </c>
      <c r="CO52" s="120">
        <f t="shared" si="7"/>
        <v>0</v>
      </c>
      <c r="CP52" s="120">
        <f t="shared" si="8"/>
        <v>0</v>
      </c>
      <c r="CQ52" s="120">
        <f t="shared" ref="CQ52:CQ80" si="93">IF($H52*$D52=0,0,$H52*$D52*$E52)</f>
        <v>0</v>
      </c>
      <c r="CR52" s="120">
        <f>SUM(CQ52:CQ80)</f>
        <v>57435177.865612641</v>
      </c>
      <c r="CS52" s="321">
        <f t="shared" si="9"/>
        <v>1</v>
      </c>
      <c r="CT52" s="319">
        <f t="shared" si="10"/>
        <v>0</v>
      </c>
      <c r="CU52" s="320">
        <f t="shared" si="11"/>
        <v>0</v>
      </c>
      <c r="CV52" s="320">
        <f t="shared" si="12"/>
        <v>0</v>
      </c>
      <c r="CW52" s="320">
        <f t="shared" si="13"/>
        <v>0</v>
      </c>
      <c r="CX52" s="320">
        <f t="shared" si="14"/>
        <v>0</v>
      </c>
      <c r="CY52" s="320">
        <f t="shared" si="15"/>
        <v>0</v>
      </c>
      <c r="CZ52" s="320">
        <f t="shared" si="16"/>
        <v>0</v>
      </c>
      <c r="DA52" s="320">
        <f t="shared" si="17"/>
        <v>0</v>
      </c>
      <c r="DB52" s="320">
        <f t="shared" si="18"/>
        <v>0</v>
      </c>
      <c r="DC52" s="320">
        <f t="shared" si="19"/>
        <v>0</v>
      </c>
      <c r="DD52" s="320">
        <f t="shared" si="20"/>
        <v>0</v>
      </c>
      <c r="DE52" s="320">
        <f t="shared" si="21"/>
        <v>0</v>
      </c>
      <c r="DF52" s="320">
        <f t="shared" si="22"/>
        <v>0</v>
      </c>
      <c r="DG52" s="320">
        <f t="shared" si="23"/>
        <v>0</v>
      </c>
      <c r="DH52" s="320">
        <f t="shared" si="24"/>
        <v>0</v>
      </c>
      <c r="DI52" s="320">
        <f t="shared" si="25"/>
        <v>0</v>
      </c>
      <c r="DJ52" s="320">
        <f t="shared" si="26"/>
        <v>0</v>
      </c>
      <c r="DK52" s="320">
        <f t="shared" si="27"/>
        <v>0</v>
      </c>
      <c r="DL52" s="320">
        <f t="shared" si="28"/>
        <v>0</v>
      </c>
      <c r="DM52" s="320">
        <f t="shared" si="29"/>
        <v>0</v>
      </c>
      <c r="DN52" s="320">
        <f t="shared" si="30"/>
        <v>0</v>
      </c>
      <c r="DO52" s="320">
        <f t="shared" si="31"/>
        <v>0</v>
      </c>
      <c r="DP52" s="320">
        <f t="shared" si="32"/>
        <v>0</v>
      </c>
      <c r="DQ52" s="320">
        <f t="shared" si="33"/>
        <v>0</v>
      </c>
      <c r="DR52" s="320">
        <f t="shared" si="34"/>
        <v>0</v>
      </c>
      <c r="DS52" s="320">
        <f t="shared" si="35"/>
        <v>0</v>
      </c>
      <c r="DT52" s="320">
        <f t="shared" si="36"/>
        <v>0</v>
      </c>
      <c r="DU52" s="320">
        <f t="shared" si="37"/>
        <v>0</v>
      </c>
      <c r="DV52" s="320">
        <f t="shared" si="38"/>
        <v>0</v>
      </c>
      <c r="DW52" s="320">
        <f t="shared" si="39"/>
        <v>0</v>
      </c>
      <c r="DX52" s="320">
        <f t="shared" si="40"/>
        <v>0</v>
      </c>
      <c r="DY52" s="320">
        <f t="shared" si="41"/>
        <v>0</v>
      </c>
      <c r="DZ52" s="320">
        <f t="shared" si="42"/>
        <v>0</v>
      </c>
      <c r="EA52" s="320">
        <f t="shared" si="43"/>
        <v>0</v>
      </c>
      <c r="EB52" s="320">
        <f t="shared" si="44"/>
        <v>0</v>
      </c>
      <c r="EC52" s="320">
        <f t="shared" si="45"/>
        <v>0</v>
      </c>
      <c r="ED52" s="320">
        <f t="shared" si="46"/>
        <v>0</v>
      </c>
      <c r="EE52" s="320">
        <f t="shared" si="47"/>
        <v>0</v>
      </c>
      <c r="EF52" s="320">
        <f t="shared" si="48"/>
        <v>0</v>
      </c>
      <c r="EG52" s="320">
        <f t="shared" si="48"/>
        <v>0</v>
      </c>
      <c r="EH52" s="320">
        <f t="shared" si="48"/>
        <v>0</v>
      </c>
      <c r="EI52" s="320">
        <f t="shared" si="49"/>
        <v>0</v>
      </c>
      <c r="EJ52" s="320">
        <f t="shared" si="50"/>
        <v>0</v>
      </c>
      <c r="EK52" s="321">
        <f t="shared" si="51"/>
        <v>0</v>
      </c>
    </row>
    <row r="53" spans="1:141">
      <c r="A53" s="27">
        <v>-20</v>
      </c>
      <c r="B53" s="27">
        <v>-15</v>
      </c>
      <c r="C53" s="21">
        <f t="shared" si="0"/>
        <v>-17.5</v>
      </c>
      <c r="D53" s="21">
        <f t="shared" si="1"/>
        <v>0</v>
      </c>
      <c r="E53" s="184">
        <v>1</v>
      </c>
      <c r="F53" s="144">
        <f t="shared" si="2"/>
        <v>1.5947625121874998</v>
      </c>
      <c r="G53" s="283">
        <f t="shared" si="52"/>
        <v>1</v>
      </c>
      <c r="H53" s="23">
        <f t="shared" si="3"/>
        <v>45000</v>
      </c>
      <c r="I53" s="119">
        <f t="shared" ref="I53:AY53" si="94">HLOOKUP(I$50,loadcorr,22,FALSE)</f>
        <v>0</v>
      </c>
      <c r="J53" s="120">
        <f t="shared" si="94"/>
        <v>0</v>
      </c>
      <c r="K53" s="120">
        <f t="shared" si="94"/>
        <v>0</v>
      </c>
      <c r="L53" s="120">
        <f t="shared" si="94"/>
        <v>0</v>
      </c>
      <c r="M53" s="120">
        <f t="shared" si="94"/>
        <v>0</v>
      </c>
      <c r="N53" s="120">
        <f t="shared" si="94"/>
        <v>0</v>
      </c>
      <c r="O53" s="120">
        <f t="shared" si="94"/>
        <v>0</v>
      </c>
      <c r="P53" s="120">
        <f t="shared" si="94"/>
        <v>0</v>
      </c>
      <c r="Q53" s="120">
        <f t="shared" si="94"/>
        <v>0</v>
      </c>
      <c r="R53" s="120">
        <f t="shared" si="94"/>
        <v>0</v>
      </c>
      <c r="S53" s="120">
        <f t="shared" si="94"/>
        <v>0</v>
      </c>
      <c r="T53" s="120">
        <f t="shared" si="94"/>
        <v>0</v>
      </c>
      <c r="U53" s="120">
        <f t="shared" si="94"/>
        <v>0</v>
      </c>
      <c r="V53" s="120">
        <f t="shared" si="94"/>
        <v>0</v>
      </c>
      <c r="W53" s="120">
        <f t="shared" si="94"/>
        <v>0</v>
      </c>
      <c r="X53" s="120">
        <f t="shared" si="94"/>
        <v>0</v>
      </c>
      <c r="Y53" s="120">
        <f t="shared" si="94"/>
        <v>0</v>
      </c>
      <c r="Z53" s="120">
        <f t="shared" si="94"/>
        <v>0</v>
      </c>
      <c r="AA53" s="120">
        <f t="shared" si="94"/>
        <v>0</v>
      </c>
      <c r="AB53" s="120">
        <f t="shared" si="94"/>
        <v>0</v>
      </c>
      <c r="AC53" s="120">
        <f t="shared" si="94"/>
        <v>0</v>
      </c>
      <c r="AD53" s="120">
        <f t="shared" si="94"/>
        <v>0</v>
      </c>
      <c r="AE53" s="120">
        <f t="shared" si="94"/>
        <v>19861.875000000004</v>
      </c>
      <c r="AF53" s="120">
        <f t="shared" si="94"/>
        <v>5655</v>
      </c>
      <c r="AG53" s="120">
        <f t="shared" si="94"/>
        <v>6758</v>
      </c>
      <c r="AH53" s="120">
        <f t="shared" si="94"/>
        <v>8704</v>
      </c>
      <c r="AI53" s="120">
        <f t="shared" si="94"/>
        <v>12960.000000000002</v>
      </c>
      <c r="AJ53" s="120">
        <f t="shared" si="94"/>
        <v>12383</v>
      </c>
      <c r="AK53" s="120">
        <f t="shared" si="94"/>
        <v>6270</v>
      </c>
      <c r="AL53" s="120">
        <f t="shared" si="94"/>
        <v>7280</v>
      </c>
      <c r="AM53" s="120">
        <f t="shared" si="94"/>
        <v>12240</v>
      </c>
      <c r="AN53" s="120">
        <f t="shared" si="94"/>
        <v>14280</v>
      </c>
      <c r="AO53" s="120">
        <f t="shared" si="94"/>
        <v>12100</v>
      </c>
      <c r="AP53" s="120">
        <f t="shared" si="94"/>
        <v>13750</v>
      </c>
      <c r="AQ53" s="120">
        <f t="shared" si="94"/>
        <v>15730</v>
      </c>
      <c r="AR53" s="120">
        <f t="shared" si="94"/>
        <v>24750</v>
      </c>
      <c r="AS53" s="120">
        <f t="shared" si="94"/>
        <v>26400</v>
      </c>
      <c r="AT53" s="120">
        <f t="shared" si="94"/>
        <v>29700</v>
      </c>
      <c r="AU53" s="120">
        <f t="shared" si="94"/>
        <v>15750</v>
      </c>
      <c r="AV53" s="120">
        <f t="shared" si="94"/>
        <v>20250</v>
      </c>
      <c r="AW53" s="120">
        <f t="shared" si="94"/>
        <v>22275</v>
      </c>
      <c r="AX53" s="120">
        <f t="shared" si="94"/>
        <v>80960</v>
      </c>
      <c r="AY53" s="304">
        <f t="shared" si="94"/>
        <v>0</v>
      </c>
      <c r="AZ53" s="119">
        <f t="shared" si="55"/>
        <v>0</v>
      </c>
      <c r="BA53" s="120">
        <f t="shared" si="56"/>
        <v>0</v>
      </c>
      <c r="BB53" s="120">
        <f t="shared" si="57"/>
        <v>0</v>
      </c>
      <c r="BC53" s="120">
        <f t="shared" si="58"/>
        <v>0</v>
      </c>
      <c r="BD53" s="120">
        <f t="shared" si="59"/>
        <v>0</v>
      </c>
      <c r="BE53" s="120">
        <f t="shared" si="60"/>
        <v>0</v>
      </c>
      <c r="BF53" s="120">
        <f t="shared" si="61"/>
        <v>0</v>
      </c>
      <c r="BG53" s="120">
        <f t="shared" si="62"/>
        <v>0</v>
      </c>
      <c r="BH53" s="120">
        <f t="shared" si="63"/>
        <v>0</v>
      </c>
      <c r="BI53" s="120">
        <f t="shared" si="64"/>
        <v>0</v>
      </c>
      <c r="BJ53" s="120">
        <f t="shared" si="65"/>
        <v>0</v>
      </c>
      <c r="BK53" s="120">
        <f t="shared" si="66"/>
        <v>0</v>
      </c>
      <c r="BL53" s="120">
        <f t="shared" si="67"/>
        <v>0</v>
      </c>
      <c r="BM53" s="120">
        <f t="shared" si="68"/>
        <v>0</v>
      </c>
      <c r="BN53" s="120">
        <f t="shared" si="69"/>
        <v>0</v>
      </c>
      <c r="BO53" s="120">
        <f t="shared" si="70"/>
        <v>0</v>
      </c>
      <c r="BP53" s="120">
        <f t="shared" si="71"/>
        <v>0</v>
      </c>
      <c r="BQ53" s="120">
        <f t="shared" si="72"/>
        <v>0</v>
      </c>
      <c r="BR53" s="120">
        <f t="shared" si="73"/>
        <v>0</v>
      </c>
      <c r="BS53" s="120">
        <f t="shared" si="74"/>
        <v>0</v>
      </c>
      <c r="BT53" s="120">
        <f t="shared" si="75"/>
        <v>0</v>
      </c>
      <c r="BU53" s="120">
        <f t="shared" si="76"/>
        <v>0</v>
      </c>
      <c r="BV53" s="120">
        <f t="shared" si="77"/>
        <v>0</v>
      </c>
      <c r="BW53" s="120">
        <f t="shared" si="78"/>
        <v>0</v>
      </c>
      <c r="BX53" s="120">
        <f t="shared" si="79"/>
        <v>0</v>
      </c>
      <c r="BY53" s="120">
        <f t="shared" si="80"/>
        <v>0</v>
      </c>
      <c r="BZ53" s="120">
        <f t="shared" si="81"/>
        <v>0</v>
      </c>
      <c r="CA53" s="120">
        <f t="shared" si="82"/>
        <v>0</v>
      </c>
      <c r="CB53" s="120">
        <f t="shared" si="83"/>
        <v>0</v>
      </c>
      <c r="CC53" s="120">
        <f t="shared" si="84"/>
        <v>0</v>
      </c>
      <c r="CD53" s="120">
        <f t="shared" si="85"/>
        <v>0</v>
      </c>
      <c r="CE53" s="120">
        <f t="shared" si="86"/>
        <v>0</v>
      </c>
      <c r="CF53" s="120">
        <f t="shared" si="87"/>
        <v>0</v>
      </c>
      <c r="CG53" s="120">
        <f t="shared" si="88"/>
        <v>0</v>
      </c>
      <c r="CH53" s="120">
        <f t="shared" si="89"/>
        <v>0</v>
      </c>
      <c r="CI53" s="120">
        <f t="shared" si="90"/>
        <v>0</v>
      </c>
      <c r="CJ53" s="120">
        <f t="shared" si="91"/>
        <v>0</v>
      </c>
      <c r="CK53" s="120">
        <f t="shared" si="92"/>
        <v>0</v>
      </c>
      <c r="CL53" s="120">
        <f t="shared" si="6"/>
        <v>0</v>
      </c>
      <c r="CM53" s="120">
        <f t="shared" si="6"/>
        <v>0</v>
      </c>
      <c r="CN53" s="120">
        <f t="shared" si="6"/>
        <v>0</v>
      </c>
      <c r="CO53" s="120">
        <f t="shared" si="7"/>
        <v>0</v>
      </c>
      <c r="CP53" s="120">
        <f t="shared" si="8"/>
        <v>0</v>
      </c>
      <c r="CQ53" s="120">
        <f t="shared" si="93"/>
        <v>0</v>
      </c>
      <c r="CR53" s="120">
        <f>SUM(CQ53:CQ80)</f>
        <v>57435177.865612641</v>
      </c>
      <c r="CS53" s="321">
        <f t="shared" si="9"/>
        <v>1</v>
      </c>
      <c r="CT53" s="319">
        <f t="shared" si="10"/>
        <v>0</v>
      </c>
      <c r="CU53" s="320">
        <f t="shared" si="11"/>
        <v>0</v>
      </c>
      <c r="CV53" s="320">
        <f t="shared" si="12"/>
        <v>0</v>
      </c>
      <c r="CW53" s="320">
        <f t="shared" si="13"/>
        <v>0</v>
      </c>
      <c r="CX53" s="320">
        <f t="shared" si="14"/>
        <v>0</v>
      </c>
      <c r="CY53" s="320">
        <f t="shared" si="15"/>
        <v>0</v>
      </c>
      <c r="CZ53" s="320">
        <f t="shared" si="16"/>
        <v>0</v>
      </c>
      <c r="DA53" s="320">
        <f t="shared" si="17"/>
        <v>0</v>
      </c>
      <c r="DB53" s="320">
        <f t="shared" si="18"/>
        <v>0</v>
      </c>
      <c r="DC53" s="320">
        <f t="shared" si="19"/>
        <v>0</v>
      </c>
      <c r="DD53" s="320">
        <f t="shared" si="20"/>
        <v>0</v>
      </c>
      <c r="DE53" s="320">
        <f t="shared" si="21"/>
        <v>0</v>
      </c>
      <c r="DF53" s="320">
        <f t="shared" si="22"/>
        <v>0</v>
      </c>
      <c r="DG53" s="320">
        <f t="shared" si="23"/>
        <v>0</v>
      </c>
      <c r="DH53" s="320">
        <f t="shared" si="24"/>
        <v>0</v>
      </c>
      <c r="DI53" s="320">
        <f t="shared" si="25"/>
        <v>0</v>
      </c>
      <c r="DJ53" s="320">
        <f t="shared" si="26"/>
        <v>0</v>
      </c>
      <c r="DK53" s="320">
        <f t="shared" si="27"/>
        <v>0</v>
      </c>
      <c r="DL53" s="320">
        <f t="shared" si="28"/>
        <v>0</v>
      </c>
      <c r="DM53" s="320">
        <f t="shared" si="29"/>
        <v>0</v>
      </c>
      <c r="DN53" s="320">
        <f t="shared" si="30"/>
        <v>0</v>
      </c>
      <c r="DO53" s="320">
        <f t="shared" si="31"/>
        <v>0</v>
      </c>
      <c r="DP53" s="320">
        <f t="shared" si="32"/>
        <v>0</v>
      </c>
      <c r="DQ53" s="320">
        <f t="shared" si="33"/>
        <v>0</v>
      </c>
      <c r="DR53" s="320">
        <f t="shared" si="34"/>
        <v>0</v>
      </c>
      <c r="DS53" s="320">
        <f t="shared" si="35"/>
        <v>0</v>
      </c>
      <c r="DT53" s="320">
        <f t="shared" si="36"/>
        <v>0</v>
      </c>
      <c r="DU53" s="320">
        <f t="shared" si="37"/>
        <v>0</v>
      </c>
      <c r="DV53" s="320">
        <f t="shared" si="38"/>
        <v>0</v>
      </c>
      <c r="DW53" s="320">
        <f t="shared" si="39"/>
        <v>0</v>
      </c>
      <c r="DX53" s="320">
        <f t="shared" si="40"/>
        <v>0</v>
      </c>
      <c r="DY53" s="320">
        <f t="shared" si="41"/>
        <v>0</v>
      </c>
      <c r="DZ53" s="320">
        <f t="shared" si="42"/>
        <v>0</v>
      </c>
      <c r="EA53" s="320">
        <f t="shared" si="43"/>
        <v>0</v>
      </c>
      <c r="EB53" s="320">
        <f t="shared" si="44"/>
        <v>0</v>
      </c>
      <c r="EC53" s="320">
        <f t="shared" si="45"/>
        <v>0</v>
      </c>
      <c r="ED53" s="320">
        <f t="shared" si="46"/>
        <v>0</v>
      </c>
      <c r="EE53" s="320">
        <f t="shared" si="47"/>
        <v>0</v>
      </c>
      <c r="EF53" s="320">
        <f t="shared" si="48"/>
        <v>0</v>
      </c>
      <c r="EG53" s="320">
        <f t="shared" si="48"/>
        <v>0</v>
      </c>
      <c r="EH53" s="320">
        <f t="shared" si="48"/>
        <v>0</v>
      </c>
      <c r="EI53" s="320">
        <f t="shared" si="49"/>
        <v>0</v>
      </c>
      <c r="EJ53" s="320">
        <f t="shared" si="50"/>
        <v>0</v>
      </c>
      <c r="EK53" s="321">
        <f t="shared" si="51"/>
        <v>0</v>
      </c>
    </row>
    <row r="54" spans="1:141">
      <c r="A54" s="27">
        <v>-15</v>
      </c>
      <c r="B54" s="27">
        <v>-10</v>
      </c>
      <c r="C54" s="21">
        <f t="shared" si="0"/>
        <v>-12.5</v>
      </c>
      <c r="D54" s="21">
        <f t="shared" si="1"/>
        <v>0</v>
      </c>
      <c r="E54" s="184">
        <v>1</v>
      </c>
      <c r="F54" s="144">
        <f t="shared" si="2"/>
        <v>1.6786973812499999</v>
      </c>
      <c r="G54" s="283">
        <f t="shared" si="52"/>
        <v>1</v>
      </c>
      <c r="H54" s="23">
        <f t="shared" si="3"/>
        <v>45000</v>
      </c>
      <c r="I54" s="119">
        <f t="shared" ref="I54:AY54" si="95">HLOOKUP(I$50,loadcorr,32,FALSE)</f>
        <v>0</v>
      </c>
      <c r="J54" s="120">
        <f t="shared" si="95"/>
        <v>0</v>
      </c>
      <c r="K54" s="120">
        <f t="shared" si="95"/>
        <v>0</v>
      </c>
      <c r="L54" s="120">
        <f t="shared" si="95"/>
        <v>0</v>
      </c>
      <c r="M54" s="120">
        <f t="shared" si="95"/>
        <v>0</v>
      </c>
      <c r="N54" s="120">
        <f t="shared" si="95"/>
        <v>0</v>
      </c>
      <c r="O54" s="120">
        <f t="shared" si="95"/>
        <v>0</v>
      </c>
      <c r="P54" s="120">
        <f t="shared" si="95"/>
        <v>0</v>
      </c>
      <c r="Q54" s="120">
        <f t="shared" si="95"/>
        <v>0</v>
      </c>
      <c r="R54" s="120">
        <f t="shared" si="95"/>
        <v>0</v>
      </c>
      <c r="S54" s="120">
        <f t="shared" si="95"/>
        <v>0</v>
      </c>
      <c r="T54" s="120">
        <f t="shared" si="95"/>
        <v>0</v>
      </c>
      <c r="U54" s="120">
        <f t="shared" si="95"/>
        <v>0</v>
      </c>
      <c r="V54" s="120">
        <f t="shared" si="95"/>
        <v>0</v>
      </c>
      <c r="W54" s="120">
        <f t="shared" si="95"/>
        <v>0</v>
      </c>
      <c r="X54" s="120">
        <f t="shared" si="95"/>
        <v>0</v>
      </c>
      <c r="Y54" s="120">
        <f t="shared" si="95"/>
        <v>0</v>
      </c>
      <c r="Z54" s="120">
        <f t="shared" si="95"/>
        <v>0</v>
      </c>
      <c r="AA54" s="120">
        <f t="shared" si="95"/>
        <v>0</v>
      </c>
      <c r="AB54" s="120">
        <f t="shared" si="95"/>
        <v>0</v>
      </c>
      <c r="AC54" s="120">
        <f t="shared" si="95"/>
        <v>0</v>
      </c>
      <c r="AD54" s="120">
        <f t="shared" si="95"/>
        <v>0</v>
      </c>
      <c r="AE54" s="120">
        <f t="shared" si="95"/>
        <v>22168.125000000004</v>
      </c>
      <c r="AF54" s="120">
        <f t="shared" si="95"/>
        <v>6505.6666666666615</v>
      </c>
      <c r="AG54" s="120">
        <f t="shared" si="95"/>
        <v>8223.666666666677</v>
      </c>
      <c r="AH54" s="120">
        <f t="shared" si="95"/>
        <v>10545.666666666677</v>
      </c>
      <c r="AI54" s="120">
        <f t="shared" si="95"/>
        <v>15049.666666666677</v>
      </c>
      <c r="AJ54" s="120">
        <f t="shared" si="95"/>
        <v>16104.666666666655</v>
      </c>
      <c r="AK54" s="120">
        <f t="shared" si="95"/>
        <v>7979.6666666666733</v>
      </c>
      <c r="AL54" s="120">
        <f t="shared" si="95"/>
        <v>9639.666666666677</v>
      </c>
      <c r="AM54" s="120">
        <f t="shared" si="95"/>
        <v>14689.666666666677</v>
      </c>
      <c r="AN54" s="120">
        <f t="shared" si="95"/>
        <v>17329.666666666646</v>
      </c>
      <c r="AO54" s="120">
        <f t="shared" si="95"/>
        <v>14300</v>
      </c>
      <c r="AP54" s="120">
        <f t="shared" si="95"/>
        <v>16250</v>
      </c>
      <c r="AQ54" s="120">
        <f t="shared" si="95"/>
        <v>18590</v>
      </c>
      <c r="AR54" s="120">
        <f t="shared" si="95"/>
        <v>29250</v>
      </c>
      <c r="AS54" s="120">
        <f t="shared" si="95"/>
        <v>31200</v>
      </c>
      <c r="AT54" s="120">
        <f t="shared" si="95"/>
        <v>35100</v>
      </c>
      <c r="AU54" s="120">
        <f t="shared" si="95"/>
        <v>17850</v>
      </c>
      <c r="AV54" s="120">
        <f t="shared" si="95"/>
        <v>22950</v>
      </c>
      <c r="AW54" s="120">
        <f t="shared" si="95"/>
        <v>26125</v>
      </c>
      <c r="AX54" s="120">
        <f t="shared" si="95"/>
        <v>95680</v>
      </c>
      <c r="AY54" s="304">
        <f t="shared" si="95"/>
        <v>0</v>
      </c>
      <c r="AZ54" s="119">
        <f t="shared" si="55"/>
        <v>0</v>
      </c>
      <c r="BA54" s="120">
        <f t="shared" si="56"/>
        <v>0</v>
      </c>
      <c r="BB54" s="120">
        <f t="shared" si="57"/>
        <v>0</v>
      </c>
      <c r="BC54" s="120">
        <f t="shared" si="58"/>
        <v>0</v>
      </c>
      <c r="BD54" s="120">
        <f t="shared" si="59"/>
        <v>0</v>
      </c>
      <c r="BE54" s="120">
        <f t="shared" si="60"/>
        <v>0</v>
      </c>
      <c r="BF54" s="120">
        <f t="shared" si="61"/>
        <v>0</v>
      </c>
      <c r="BG54" s="120">
        <f t="shared" si="62"/>
        <v>0</v>
      </c>
      <c r="BH54" s="120">
        <f t="shared" si="63"/>
        <v>0</v>
      </c>
      <c r="BI54" s="120">
        <f t="shared" si="64"/>
        <v>0</v>
      </c>
      <c r="BJ54" s="120">
        <f t="shared" si="65"/>
        <v>0</v>
      </c>
      <c r="BK54" s="120">
        <f t="shared" si="66"/>
        <v>0</v>
      </c>
      <c r="BL54" s="120">
        <f t="shared" si="67"/>
        <v>0</v>
      </c>
      <c r="BM54" s="120">
        <f t="shared" si="68"/>
        <v>0</v>
      </c>
      <c r="BN54" s="120">
        <f t="shared" si="69"/>
        <v>0</v>
      </c>
      <c r="BO54" s="120">
        <f t="shared" si="70"/>
        <v>0</v>
      </c>
      <c r="BP54" s="120">
        <f t="shared" si="71"/>
        <v>0</v>
      </c>
      <c r="BQ54" s="120">
        <f t="shared" si="72"/>
        <v>0</v>
      </c>
      <c r="BR54" s="120">
        <f t="shared" si="73"/>
        <v>0</v>
      </c>
      <c r="BS54" s="120">
        <f t="shared" si="74"/>
        <v>0</v>
      </c>
      <c r="BT54" s="120">
        <f t="shared" si="75"/>
        <v>0</v>
      </c>
      <c r="BU54" s="120">
        <f t="shared" si="76"/>
        <v>0</v>
      </c>
      <c r="BV54" s="120">
        <f t="shared" si="77"/>
        <v>0</v>
      </c>
      <c r="BW54" s="120">
        <f t="shared" si="78"/>
        <v>0</v>
      </c>
      <c r="BX54" s="120">
        <f t="shared" si="79"/>
        <v>0</v>
      </c>
      <c r="BY54" s="120">
        <f t="shared" si="80"/>
        <v>0</v>
      </c>
      <c r="BZ54" s="120">
        <f t="shared" si="81"/>
        <v>0</v>
      </c>
      <c r="CA54" s="120">
        <f t="shared" si="82"/>
        <v>0</v>
      </c>
      <c r="CB54" s="120">
        <f t="shared" si="83"/>
        <v>0</v>
      </c>
      <c r="CC54" s="120">
        <f t="shared" si="84"/>
        <v>0</v>
      </c>
      <c r="CD54" s="120">
        <f t="shared" si="85"/>
        <v>0</v>
      </c>
      <c r="CE54" s="120">
        <f t="shared" si="86"/>
        <v>0</v>
      </c>
      <c r="CF54" s="120">
        <f t="shared" si="87"/>
        <v>0</v>
      </c>
      <c r="CG54" s="120">
        <f t="shared" si="88"/>
        <v>0</v>
      </c>
      <c r="CH54" s="120">
        <f t="shared" si="89"/>
        <v>0</v>
      </c>
      <c r="CI54" s="120">
        <f t="shared" si="90"/>
        <v>0</v>
      </c>
      <c r="CJ54" s="120">
        <f t="shared" si="91"/>
        <v>0</v>
      </c>
      <c r="CK54" s="120">
        <f t="shared" si="92"/>
        <v>0</v>
      </c>
      <c r="CL54" s="120">
        <f t="shared" si="6"/>
        <v>0</v>
      </c>
      <c r="CM54" s="120">
        <f t="shared" si="6"/>
        <v>0</v>
      </c>
      <c r="CN54" s="120">
        <f t="shared" si="6"/>
        <v>0</v>
      </c>
      <c r="CO54" s="120">
        <f t="shared" si="7"/>
        <v>0</v>
      </c>
      <c r="CP54" s="120">
        <f t="shared" si="8"/>
        <v>0</v>
      </c>
      <c r="CQ54" s="120">
        <f t="shared" si="93"/>
        <v>0</v>
      </c>
      <c r="CR54" s="120">
        <f>SUM(CQ54:CQ80)</f>
        <v>57435177.865612641</v>
      </c>
      <c r="CS54" s="321">
        <f t="shared" si="9"/>
        <v>1</v>
      </c>
      <c r="CT54" s="319">
        <f t="shared" si="10"/>
        <v>0</v>
      </c>
      <c r="CU54" s="320">
        <f t="shared" si="11"/>
        <v>0</v>
      </c>
      <c r="CV54" s="320">
        <f t="shared" si="12"/>
        <v>0</v>
      </c>
      <c r="CW54" s="320">
        <f t="shared" si="13"/>
        <v>0</v>
      </c>
      <c r="CX54" s="320">
        <f t="shared" si="14"/>
        <v>0</v>
      </c>
      <c r="CY54" s="320">
        <f t="shared" si="15"/>
        <v>0</v>
      </c>
      <c r="CZ54" s="320">
        <f t="shared" si="16"/>
        <v>0</v>
      </c>
      <c r="DA54" s="320">
        <f t="shared" si="17"/>
        <v>0</v>
      </c>
      <c r="DB54" s="320">
        <f t="shared" si="18"/>
        <v>0</v>
      </c>
      <c r="DC54" s="320">
        <f t="shared" si="19"/>
        <v>0</v>
      </c>
      <c r="DD54" s="320">
        <f t="shared" si="20"/>
        <v>0</v>
      </c>
      <c r="DE54" s="320">
        <f t="shared" si="21"/>
        <v>0</v>
      </c>
      <c r="DF54" s="320">
        <f t="shared" si="22"/>
        <v>0</v>
      </c>
      <c r="DG54" s="320">
        <f t="shared" si="23"/>
        <v>0</v>
      </c>
      <c r="DH54" s="320">
        <f t="shared" si="24"/>
        <v>0</v>
      </c>
      <c r="DI54" s="320">
        <f t="shared" si="25"/>
        <v>0</v>
      </c>
      <c r="DJ54" s="320">
        <f t="shared" si="26"/>
        <v>0</v>
      </c>
      <c r="DK54" s="320">
        <f t="shared" si="27"/>
        <v>0</v>
      </c>
      <c r="DL54" s="320">
        <f t="shared" si="28"/>
        <v>0</v>
      </c>
      <c r="DM54" s="320">
        <f t="shared" si="29"/>
        <v>0</v>
      </c>
      <c r="DN54" s="320">
        <f t="shared" si="30"/>
        <v>0</v>
      </c>
      <c r="DO54" s="320">
        <f t="shared" si="31"/>
        <v>0</v>
      </c>
      <c r="DP54" s="320">
        <f t="shared" si="32"/>
        <v>0</v>
      </c>
      <c r="DQ54" s="320">
        <f t="shared" si="33"/>
        <v>0</v>
      </c>
      <c r="DR54" s="320">
        <f t="shared" si="34"/>
        <v>0</v>
      </c>
      <c r="DS54" s="320">
        <f t="shared" si="35"/>
        <v>0</v>
      </c>
      <c r="DT54" s="320">
        <f t="shared" si="36"/>
        <v>0</v>
      </c>
      <c r="DU54" s="320">
        <f t="shared" si="37"/>
        <v>0</v>
      </c>
      <c r="DV54" s="320">
        <f t="shared" si="38"/>
        <v>0</v>
      </c>
      <c r="DW54" s="320">
        <f t="shared" si="39"/>
        <v>0</v>
      </c>
      <c r="DX54" s="320">
        <f t="shared" si="40"/>
        <v>0</v>
      </c>
      <c r="DY54" s="320">
        <f t="shared" si="41"/>
        <v>0</v>
      </c>
      <c r="DZ54" s="320">
        <f t="shared" si="42"/>
        <v>0</v>
      </c>
      <c r="EA54" s="320">
        <f t="shared" si="43"/>
        <v>0</v>
      </c>
      <c r="EB54" s="320">
        <f t="shared" si="44"/>
        <v>0</v>
      </c>
      <c r="EC54" s="320">
        <f t="shared" si="45"/>
        <v>0</v>
      </c>
      <c r="ED54" s="320">
        <f t="shared" si="46"/>
        <v>0</v>
      </c>
      <c r="EE54" s="320">
        <f t="shared" si="47"/>
        <v>0</v>
      </c>
      <c r="EF54" s="320">
        <f t="shared" si="48"/>
        <v>0</v>
      </c>
      <c r="EG54" s="320">
        <f t="shared" si="48"/>
        <v>0</v>
      </c>
      <c r="EH54" s="320">
        <f t="shared" si="48"/>
        <v>0</v>
      </c>
      <c r="EI54" s="320">
        <f t="shared" si="49"/>
        <v>0</v>
      </c>
      <c r="EJ54" s="320">
        <f t="shared" si="50"/>
        <v>0</v>
      </c>
      <c r="EK54" s="321">
        <f t="shared" si="51"/>
        <v>0</v>
      </c>
    </row>
    <row r="55" spans="1:141">
      <c r="A55" s="21">
        <v>-10</v>
      </c>
      <c r="B55" s="21">
        <v>-5</v>
      </c>
      <c r="C55" s="21">
        <f>(A55+B55)/2</f>
        <v>-7.5</v>
      </c>
      <c r="D55" s="21">
        <f t="shared" si="1"/>
        <v>0</v>
      </c>
      <c r="E55" s="184">
        <v>1</v>
      </c>
      <c r="F55" s="144">
        <f t="shared" si="2"/>
        <v>1.7670498749999999</v>
      </c>
      <c r="G55" s="283">
        <f t="shared" si="52"/>
        <v>1</v>
      </c>
      <c r="H55" s="23">
        <f t="shared" si="3"/>
        <v>45000</v>
      </c>
      <c r="I55" s="119">
        <f t="shared" ref="I55:AY55" si="96">HLOOKUP(I$50,loadcorr,42,FALSE)</f>
        <v>2424.9999999999918</v>
      </c>
      <c r="J55" s="120">
        <f t="shared" si="96"/>
        <v>2250</v>
      </c>
      <c r="K55" s="120">
        <f t="shared" si="96"/>
        <v>2899.9999999999973</v>
      </c>
      <c r="L55" s="120">
        <f t="shared" si="96"/>
        <v>5000</v>
      </c>
      <c r="M55" s="120">
        <f t="shared" si="96"/>
        <v>3050.0000000000068</v>
      </c>
      <c r="N55" s="120">
        <f t="shared" si="96"/>
        <v>3125.0000000000041</v>
      </c>
      <c r="O55" s="120">
        <f t="shared" si="96"/>
        <v>2775.0000000000032</v>
      </c>
      <c r="P55" s="120">
        <f t="shared" si="96"/>
        <v>2550</v>
      </c>
      <c r="Q55" s="120">
        <f t="shared" si="96"/>
        <v>3174.9999999999964</v>
      </c>
      <c r="R55" s="120">
        <f t="shared" si="96"/>
        <v>3649.9999999999986</v>
      </c>
      <c r="S55" s="120">
        <f t="shared" si="96"/>
        <v>3725.0000000000191</v>
      </c>
      <c r="T55" s="120">
        <f t="shared" si="96"/>
        <v>7225</v>
      </c>
      <c r="U55" s="120">
        <f t="shared" si="96"/>
        <v>4994.5000000000009</v>
      </c>
      <c r="V55" s="120">
        <f t="shared" si="96"/>
        <v>7147.2000000000035</v>
      </c>
      <c r="W55" s="120">
        <f t="shared" si="96"/>
        <v>10208</v>
      </c>
      <c r="X55" s="120">
        <f t="shared" si="96"/>
        <v>8534</v>
      </c>
      <c r="Y55" s="120">
        <f t="shared" si="96"/>
        <v>13608.000000000002</v>
      </c>
      <c r="Z55" s="120">
        <f t="shared" si="96"/>
        <v>0</v>
      </c>
      <c r="AA55" s="120">
        <f t="shared" si="96"/>
        <v>0</v>
      </c>
      <c r="AB55" s="120">
        <f t="shared" si="96"/>
        <v>0</v>
      </c>
      <c r="AC55" s="120">
        <f t="shared" si="96"/>
        <v>0</v>
      </c>
      <c r="AD55" s="120">
        <f t="shared" si="96"/>
        <v>0</v>
      </c>
      <c r="AE55" s="120">
        <f t="shared" si="96"/>
        <v>24474.375000000004</v>
      </c>
      <c r="AF55" s="120">
        <f t="shared" si="96"/>
        <v>7182.3333333333312</v>
      </c>
      <c r="AG55" s="120">
        <f t="shared" si="96"/>
        <v>8900.3333333333376</v>
      </c>
      <c r="AH55" s="120">
        <f t="shared" si="96"/>
        <v>11222.333333333338</v>
      </c>
      <c r="AI55" s="120">
        <f t="shared" si="96"/>
        <v>15726.333333333338</v>
      </c>
      <c r="AJ55" s="120">
        <f t="shared" si="96"/>
        <v>16781.333333333325</v>
      </c>
      <c r="AK55" s="120">
        <f t="shared" si="96"/>
        <v>8656.3333333333376</v>
      </c>
      <c r="AL55" s="120">
        <f t="shared" si="96"/>
        <v>10316.333333333338</v>
      </c>
      <c r="AM55" s="120">
        <f t="shared" si="96"/>
        <v>15366.333333333338</v>
      </c>
      <c r="AN55" s="120">
        <f t="shared" si="96"/>
        <v>18006.333333333325</v>
      </c>
      <c r="AO55" s="120">
        <f t="shared" si="96"/>
        <v>16500</v>
      </c>
      <c r="AP55" s="120">
        <f t="shared" si="96"/>
        <v>18750</v>
      </c>
      <c r="AQ55" s="120">
        <f t="shared" si="96"/>
        <v>21450</v>
      </c>
      <c r="AR55" s="120">
        <f t="shared" si="96"/>
        <v>33750</v>
      </c>
      <c r="AS55" s="120">
        <f t="shared" si="96"/>
        <v>36000</v>
      </c>
      <c r="AT55" s="120">
        <f t="shared" si="96"/>
        <v>40500</v>
      </c>
      <c r="AU55" s="120">
        <f t="shared" si="96"/>
        <v>19950</v>
      </c>
      <c r="AV55" s="120">
        <f t="shared" si="96"/>
        <v>25650</v>
      </c>
      <c r="AW55" s="120">
        <f t="shared" si="96"/>
        <v>29975</v>
      </c>
      <c r="AX55" s="120">
        <f t="shared" si="96"/>
        <v>110400</v>
      </c>
      <c r="AY55" s="304">
        <f t="shared" si="96"/>
        <v>19194.999999999909</v>
      </c>
      <c r="AZ55" s="119">
        <f t="shared" si="55"/>
        <v>0</v>
      </c>
      <c r="BA55" s="120">
        <f t="shared" si="56"/>
        <v>0</v>
      </c>
      <c r="BB55" s="120">
        <f t="shared" si="57"/>
        <v>0</v>
      </c>
      <c r="BC55" s="120">
        <f t="shared" si="58"/>
        <v>0</v>
      </c>
      <c r="BD55" s="120">
        <f t="shared" si="59"/>
        <v>0</v>
      </c>
      <c r="BE55" s="120">
        <f t="shared" si="60"/>
        <v>0</v>
      </c>
      <c r="BF55" s="120">
        <f t="shared" si="61"/>
        <v>0</v>
      </c>
      <c r="BG55" s="120">
        <f t="shared" si="62"/>
        <v>0</v>
      </c>
      <c r="BH55" s="120">
        <f t="shared" si="63"/>
        <v>0</v>
      </c>
      <c r="BI55" s="120">
        <f t="shared" si="64"/>
        <v>0</v>
      </c>
      <c r="BJ55" s="120">
        <f t="shared" si="65"/>
        <v>0</v>
      </c>
      <c r="BK55" s="120">
        <f t="shared" si="66"/>
        <v>0</v>
      </c>
      <c r="BL55" s="120">
        <f t="shared" si="67"/>
        <v>0</v>
      </c>
      <c r="BM55" s="120">
        <f t="shared" si="68"/>
        <v>0</v>
      </c>
      <c r="BN55" s="120">
        <f t="shared" si="69"/>
        <v>0</v>
      </c>
      <c r="BO55" s="120">
        <f t="shared" si="70"/>
        <v>0</v>
      </c>
      <c r="BP55" s="120">
        <f t="shared" si="71"/>
        <v>0</v>
      </c>
      <c r="BQ55" s="120">
        <f t="shared" si="72"/>
        <v>0</v>
      </c>
      <c r="BR55" s="120">
        <f t="shared" si="73"/>
        <v>0</v>
      </c>
      <c r="BS55" s="120">
        <f t="shared" si="74"/>
        <v>0</v>
      </c>
      <c r="BT55" s="120">
        <f t="shared" si="75"/>
        <v>0</v>
      </c>
      <c r="BU55" s="120">
        <f t="shared" si="76"/>
        <v>0</v>
      </c>
      <c r="BV55" s="120">
        <f t="shared" si="77"/>
        <v>0</v>
      </c>
      <c r="BW55" s="120">
        <f t="shared" si="78"/>
        <v>0</v>
      </c>
      <c r="BX55" s="120">
        <f t="shared" si="79"/>
        <v>0</v>
      </c>
      <c r="BY55" s="120">
        <f t="shared" si="80"/>
        <v>0</v>
      </c>
      <c r="BZ55" s="120">
        <f t="shared" si="81"/>
        <v>0</v>
      </c>
      <c r="CA55" s="120">
        <f t="shared" si="82"/>
        <v>0</v>
      </c>
      <c r="CB55" s="120">
        <f t="shared" si="83"/>
        <v>0</v>
      </c>
      <c r="CC55" s="120">
        <f t="shared" si="84"/>
        <v>0</v>
      </c>
      <c r="CD55" s="120">
        <f t="shared" si="85"/>
        <v>0</v>
      </c>
      <c r="CE55" s="120">
        <f t="shared" si="86"/>
        <v>0</v>
      </c>
      <c r="CF55" s="120">
        <f t="shared" si="87"/>
        <v>0</v>
      </c>
      <c r="CG55" s="120">
        <f t="shared" si="88"/>
        <v>0</v>
      </c>
      <c r="CH55" s="120">
        <f t="shared" si="89"/>
        <v>0</v>
      </c>
      <c r="CI55" s="120">
        <f t="shared" si="90"/>
        <v>0</v>
      </c>
      <c r="CJ55" s="120">
        <f t="shared" si="91"/>
        <v>0</v>
      </c>
      <c r="CK55" s="120">
        <f t="shared" si="92"/>
        <v>0</v>
      </c>
      <c r="CL55" s="120">
        <f t="shared" si="6"/>
        <v>0</v>
      </c>
      <c r="CM55" s="120">
        <f t="shared" si="6"/>
        <v>0</v>
      </c>
      <c r="CN55" s="120">
        <f t="shared" si="6"/>
        <v>0</v>
      </c>
      <c r="CO55" s="120">
        <f t="shared" si="7"/>
        <v>0</v>
      </c>
      <c r="CP55" s="120">
        <f t="shared" si="8"/>
        <v>0</v>
      </c>
      <c r="CQ55" s="120">
        <f t="shared" si="93"/>
        <v>0</v>
      </c>
      <c r="CR55" s="120">
        <f>SUM(CQ55:CQ80)</f>
        <v>57435177.865612641</v>
      </c>
      <c r="CS55" s="321">
        <f t="shared" si="9"/>
        <v>1</v>
      </c>
      <c r="CT55" s="319">
        <f t="shared" si="10"/>
        <v>0</v>
      </c>
      <c r="CU55" s="320">
        <f t="shared" si="11"/>
        <v>0</v>
      </c>
      <c r="CV55" s="320">
        <f t="shared" si="12"/>
        <v>0</v>
      </c>
      <c r="CW55" s="320">
        <f t="shared" si="13"/>
        <v>0</v>
      </c>
      <c r="CX55" s="320">
        <f t="shared" si="14"/>
        <v>0</v>
      </c>
      <c r="CY55" s="320">
        <f t="shared" si="15"/>
        <v>0</v>
      </c>
      <c r="CZ55" s="320">
        <f t="shared" si="16"/>
        <v>0</v>
      </c>
      <c r="DA55" s="320">
        <f t="shared" si="17"/>
        <v>0</v>
      </c>
      <c r="DB55" s="320">
        <f t="shared" si="18"/>
        <v>0</v>
      </c>
      <c r="DC55" s="320">
        <f t="shared" si="19"/>
        <v>0</v>
      </c>
      <c r="DD55" s="320">
        <f t="shared" si="20"/>
        <v>0</v>
      </c>
      <c r="DE55" s="320">
        <f t="shared" si="21"/>
        <v>0</v>
      </c>
      <c r="DF55" s="320">
        <f t="shared" si="22"/>
        <v>0</v>
      </c>
      <c r="DG55" s="320">
        <f t="shared" si="23"/>
        <v>0</v>
      </c>
      <c r="DH55" s="320">
        <f t="shared" si="24"/>
        <v>0</v>
      </c>
      <c r="DI55" s="320">
        <f t="shared" si="25"/>
        <v>0</v>
      </c>
      <c r="DJ55" s="320">
        <f t="shared" si="26"/>
        <v>0</v>
      </c>
      <c r="DK55" s="320">
        <f t="shared" si="27"/>
        <v>0</v>
      </c>
      <c r="DL55" s="320">
        <f t="shared" si="28"/>
        <v>0</v>
      </c>
      <c r="DM55" s="320">
        <f t="shared" si="29"/>
        <v>0</v>
      </c>
      <c r="DN55" s="320">
        <f t="shared" si="30"/>
        <v>0</v>
      </c>
      <c r="DO55" s="320">
        <f t="shared" si="31"/>
        <v>0</v>
      </c>
      <c r="DP55" s="320">
        <f t="shared" si="32"/>
        <v>0</v>
      </c>
      <c r="DQ55" s="320">
        <f t="shared" si="33"/>
        <v>0</v>
      </c>
      <c r="DR55" s="320">
        <f t="shared" si="34"/>
        <v>0</v>
      </c>
      <c r="DS55" s="320">
        <f t="shared" si="35"/>
        <v>0</v>
      </c>
      <c r="DT55" s="320">
        <f t="shared" si="36"/>
        <v>0</v>
      </c>
      <c r="DU55" s="320">
        <f t="shared" si="37"/>
        <v>0</v>
      </c>
      <c r="DV55" s="320">
        <f t="shared" si="38"/>
        <v>0</v>
      </c>
      <c r="DW55" s="320">
        <f t="shared" si="39"/>
        <v>0</v>
      </c>
      <c r="DX55" s="320">
        <f t="shared" si="40"/>
        <v>0</v>
      </c>
      <c r="DY55" s="320">
        <f t="shared" si="41"/>
        <v>0</v>
      </c>
      <c r="DZ55" s="320">
        <f t="shared" si="42"/>
        <v>0</v>
      </c>
      <c r="EA55" s="320">
        <f t="shared" si="43"/>
        <v>0</v>
      </c>
      <c r="EB55" s="320">
        <f t="shared" si="44"/>
        <v>0</v>
      </c>
      <c r="EC55" s="320">
        <f t="shared" si="45"/>
        <v>0</v>
      </c>
      <c r="ED55" s="320">
        <f t="shared" si="46"/>
        <v>0</v>
      </c>
      <c r="EE55" s="320">
        <f t="shared" si="47"/>
        <v>0</v>
      </c>
      <c r="EF55" s="320">
        <f t="shared" si="48"/>
        <v>0</v>
      </c>
      <c r="EG55" s="320">
        <f t="shared" si="48"/>
        <v>0</v>
      </c>
      <c r="EH55" s="320">
        <f t="shared" si="48"/>
        <v>0</v>
      </c>
      <c r="EI55" s="320">
        <f t="shared" si="49"/>
        <v>0</v>
      </c>
      <c r="EJ55" s="320">
        <f t="shared" si="50"/>
        <v>0</v>
      </c>
      <c r="EK55" s="321">
        <f t="shared" si="51"/>
        <v>0</v>
      </c>
    </row>
    <row r="56" spans="1:141">
      <c r="A56" s="21">
        <v>-5</v>
      </c>
      <c r="B56" s="21">
        <v>0</v>
      </c>
      <c r="C56" s="21">
        <f t="shared" ref="C56:C80" si="97">(A56+B56)/2</f>
        <v>-2.5</v>
      </c>
      <c r="D56" s="21">
        <f t="shared" si="1"/>
        <v>1</v>
      </c>
      <c r="E56" s="184">
        <v>1</v>
      </c>
      <c r="F56" s="144">
        <f t="shared" si="2"/>
        <v>1.8600524999999999</v>
      </c>
      <c r="G56" s="283">
        <f t="shared" si="52"/>
        <v>1</v>
      </c>
      <c r="H56" s="23">
        <f t="shared" si="3"/>
        <v>45000</v>
      </c>
      <c r="I56" s="119">
        <f t="shared" ref="I56:AY56" si="98">HLOOKUP(I$50,loadcorr,52,FALSE)</f>
        <v>3374.9999999999964</v>
      </c>
      <c r="J56" s="120">
        <f t="shared" si="98"/>
        <v>3750</v>
      </c>
      <c r="K56" s="120">
        <f t="shared" si="98"/>
        <v>4900</v>
      </c>
      <c r="L56" s="120">
        <f t="shared" si="98"/>
        <v>6800</v>
      </c>
      <c r="M56" s="120">
        <f t="shared" si="98"/>
        <v>3750.0000000000023</v>
      </c>
      <c r="N56" s="120">
        <f t="shared" si="98"/>
        <v>4275</v>
      </c>
      <c r="O56" s="120">
        <f t="shared" si="98"/>
        <v>4825</v>
      </c>
      <c r="P56" s="120">
        <f t="shared" si="98"/>
        <v>3450</v>
      </c>
      <c r="Q56" s="120">
        <f t="shared" si="98"/>
        <v>4425</v>
      </c>
      <c r="R56" s="120">
        <f t="shared" si="98"/>
        <v>5350</v>
      </c>
      <c r="S56" s="120">
        <f t="shared" si="98"/>
        <v>5875.00000000001</v>
      </c>
      <c r="T56" s="120">
        <f t="shared" si="98"/>
        <v>9175</v>
      </c>
      <c r="U56" s="120">
        <f t="shared" si="98"/>
        <v>6358.3333333333385</v>
      </c>
      <c r="V56" s="120">
        <f t="shared" si="98"/>
        <v>8520.3333333333394</v>
      </c>
      <c r="W56" s="120">
        <f t="shared" si="98"/>
        <v>12408.333333333339</v>
      </c>
      <c r="X56" s="120">
        <f t="shared" si="98"/>
        <v>11688.333333333339</v>
      </c>
      <c r="Y56" s="120">
        <f t="shared" si="98"/>
        <v>18048.333333333339</v>
      </c>
      <c r="Z56" s="120">
        <f t="shared" si="98"/>
        <v>0</v>
      </c>
      <c r="AA56" s="120">
        <f t="shared" si="98"/>
        <v>0</v>
      </c>
      <c r="AB56" s="120">
        <f t="shared" si="98"/>
        <v>0</v>
      </c>
      <c r="AC56" s="120">
        <f t="shared" si="98"/>
        <v>0</v>
      </c>
      <c r="AD56" s="120">
        <f t="shared" si="98"/>
        <v>0</v>
      </c>
      <c r="AE56" s="120">
        <f t="shared" si="98"/>
        <v>26780.625000000004</v>
      </c>
      <c r="AF56" s="120">
        <f t="shared" si="98"/>
        <v>7428.3333333333394</v>
      </c>
      <c r="AG56" s="120">
        <f t="shared" si="98"/>
        <v>9628.3333333333394</v>
      </c>
      <c r="AH56" s="120">
        <f t="shared" si="98"/>
        <v>12328.333333333339</v>
      </c>
      <c r="AI56" s="120">
        <f t="shared" si="98"/>
        <v>16728.333333333339</v>
      </c>
      <c r="AJ56" s="120">
        <f t="shared" si="98"/>
        <v>19028.333333333339</v>
      </c>
      <c r="AK56" s="120">
        <f t="shared" si="98"/>
        <v>9728.3333333333394</v>
      </c>
      <c r="AL56" s="120">
        <f t="shared" si="98"/>
        <v>11728.333333333339</v>
      </c>
      <c r="AM56" s="120">
        <f t="shared" si="98"/>
        <v>16728.333333333339</v>
      </c>
      <c r="AN56" s="120">
        <f t="shared" si="98"/>
        <v>19728.333333333339</v>
      </c>
      <c r="AO56" s="120">
        <f t="shared" si="98"/>
        <v>18700</v>
      </c>
      <c r="AP56" s="120">
        <f t="shared" si="98"/>
        <v>21250</v>
      </c>
      <c r="AQ56" s="120">
        <f t="shared" si="98"/>
        <v>24310</v>
      </c>
      <c r="AR56" s="120">
        <f t="shared" si="98"/>
        <v>38250</v>
      </c>
      <c r="AS56" s="120">
        <f t="shared" si="98"/>
        <v>40800</v>
      </c>
      <c r="AT56" s="120">
        <f t="shared" si="98"/>
        <v>45900</v>
      </c>
      <c r="AU56" s="120">
        <f t="shared" si="98"/>
        <v>22050</v>
      </c>
      <c r="AV56" s="120">
        <f t="shared" si="98"/>
        <v>28350</v>
      </c>
      <c r="AW56" s="120">
        <f t="shared" si="98"/>
        <v>33825</v>
      </c>
      <c r="AX56" s="120">
        <f t="shared" si="98"/>
        <v>125120</v>
      </c>
      <c r="AY56" s="304">
        <f t="shared" si="98"/>
        <v>24484.999999999945</v>
      </c>
      <c r="AZ56" s="119">
        <f t="shared" si="55"/>
        <v>3374.9999999999964</v>
      </c>
      <c r="BA56" s="120">
        <f t="shared" si="56"/>
        <v>3750</v>
      </c>
      <c r="BB56" s="120">
        <f t="shared" si="57"/>
        <v>4900</v>
      </c>
      <c r="BC56" s="120">
        <f t="shared" si="58"/>
        <v>6800</v>
      </c>
      <c r="BD56" s="120">
        <f t="shared" si="59"/>
        <v>3750.0000000000023</v>
      </c>
      <c r="BE56" s="120">
        <f t="shared" si="60"/>
        <v>4275</v>
      </c>
      <c r="BF56" s="120">
        <f t="shared" si="61"/>
        <v>4825</v>
      </c>
      <c r="BG56" s="120">
        <f t="shared" si="62"/>
        <v>3450</v>
      </c>
      <c r="BH56" s="120">
        <f t="shared" si="63"/>
        <v>4425</v>
      </c>
      <c r="BI56" s="120">
        <f t="shared" si="64"/>
        <v>5350</v>
      </c>
      <c r="BJ56" s="120">
        <f t="shared" si="65"/>
        <v>5875.00000000001</v>
      </c>
      <c r="BK56" s="120">
        <f t="shared" si="66"/>
        <v>9175</v>
      </c>
      <c r="BL56" s="120">
        <f t="shared" si="67"/>
        <v>6358.3333333333385</v>
      </c>
      <c r="BM56" s="120">
        <f t="shared" si="68"/>
        <v>8520.3333333333394</v>
      </c>
      <c r="BN56" s="120">
        <f t="shared" si="69"/>
        <v>12408.333333333339</v>
      </c>
      <c r="BO56" s="120">
        <f t="shared" si="70"/>
        <v>11688.333333333339</v>
      </c>
      <c r="BP56" s="120">
        <f t="shared" si="71"/>
        <v>18048.333333333339</v>
      </c>
      <c r="BQ56" s="120">
        <f t="shared" si="72"/>
        <v>0</v>
      </c>
      <c r="BR56" s="120">
        <f t="shared" si="73"/>
        <v>0</v>
      </c>
      <c r="BS56" s="120">
        <f t="shared" si="74"/>
        <v>0</v>
      </c>
      <c r="BT56" s="120">
        <f t="shared" si="75"/>
        <v>0</v>
      </c>
      <c r="BU56" s="120">
        <f t="shared" si="76"/>
        <v>0</v>
      </c>
      <c r="BV56" s="120">
        <f t="shared" si="77"/>
        <v>26780.625000000004</v>
      </c>
      <c r="BW56" s="120">
        <f t="shared" si="78"/>
        <v>7428.3333333333394</v>
      </c>
      <c r="BX56" s="120">
        <f t="shared" si="79"/>
        <v>9628.3333333333394</v>
      </c>
      <c r="BY56" s="120">
        <f t="shared" si="80"/>
        <v>12328.333333333339</v>
      </c>
      <c r="BZ56" s="120">
        <f t="shared" si="81"/>
        <v>16728.333333333339</v>
      </c>
      <c r="CA56" s="120">
        <f t="shared" si="82"/>
        <v>19028.333333333339</v>
      </c>
      <c r="CB56" s="120">
        <f t="shared" si="83"/>
        <v>9728.3333333333394</v>
      </c>
      <c r="CC56" s="120">
        <f t="shared" si="84"/>
        <v>11728.333333333339</v>
      </c>
      <c r="CD56" s="120">
        <f t="shared" si="85"/>
        <v>16728.333333333339</v>
      </c>
      <c r="CE56" s="120">
        <f t="shared" si="86"/>
        <v>19728.333333333339</v>
      </c>
      <c r="CF56" s="120">
        <f t="shared" si="87"/>
        <v>18700</v>
      </c>
      <c r="CG56" s="120">
        <f t="shared" si="88"/>
        <v>21250</v>
      </c>
      <c r="CH56" s="120">
        <f t="shared" si="89"/>
        <v>24310</v>
      </c>
      <c r="CI56" s="120">
        <f t="shared" si="90"/>
        <v>38250</v>
      </c>
      <c r="CJ56" s="120">
        <f t="shared" si="91"/>
        <v>40800</v>
      </c>
      <c r="CK56" s="120">
        <f t="shared" si="92"/>
        <v>45000</v>
      </c>
      <c r="CL56" s="120">
        <f t="shared" si="6"/>
        <v>22050</v>
      </c>
      <c r="CM56" s="120">
        <f t="shared" si="6"/>
        <v>28350</v>
      </c>
      <c r="CN56" s="120">
        <f t="shared" si="6"/>
        <v>33825</v>
      </c>
      <c r="CO56" s="120">
        <f t="shared" si="7"/>
        <v>45000</v>
      </c>
      <c r="CP56" s="120">
        <f t="shared" si="8"/>
        <v>24484.999999999945</v>
      </c>
      <c r="CQ56" s="120">
        <f t="shared" si="93"/>
        <v>45000</v>
      </c>
      <c r="CR56" s="120">
        <f>SUM(CQ56:CQ80)</f>
        <v>57435177.865612641</v>
      </c>
      <c r="CS56" s="321">
        <f t="shared" si="9"/>
        <v>1</v>
      </c>
      <c r="CT56" s="319">
        <f t="shared" si="10"/>
        <v>7.4999999999999914E-2</v>
      </c>
      <c r="CU56" s="320">
        <f t="shared" si="11"/>
        <v>8.3333333333333329E-2</v>
      </c>
      <c r="CV56" s="320">
        <f t="shared" si="12"/>
        <v>0.10888888888888888</v>
      </c>
      <c r="CW56" s="320">
        <f t="shared" si="13"/>
        <v>0.15111111111111111</v>
      </c>
      <c r="CX56" s="320">
        <f t="shared" si="14"/>
        <v>8.3333333333333384E-2</v>
      </c>
      <c r="CY56" s="320">
        <f t="shared" si="15"/>
        <v>9.5000000000000001E-2</v>
      </c>
      <c r="CZ56" s="320">
        <f t="shared" si="16"/>
        <v>0.10722222222222222</v>
      </c>
      <c r="DA56" s="320">
        <f t="shared" si="17"/>
        <v>7.6666666666666661E-2</v>
      </c>
      <c r="DB56" s="320">
        <f t="shared" si="18"/>
        <v>9.8333333333333328E-2</v>
      </c>
      <c r="DC56" s="320">
        <f t="shared" si="19"/>
        <v>0.11888888888888889</v>
      </c>
      <c r="DD56" s="320">
        <f t="shared" si="20"/>
        <v>0.13055555555555579</v>
      </c>
      <c r="DE56" s="320">
        <f t="shared" si="21"/>
        <v>0.2038888888888889</v>
      </c>
      <c r="DF56" s="320">
        <f t="shared" si="22"/>
        <v>0.14129629629629642</v>
      </c>
      <c r="DG56" s="320">
        <f t="shared" si="23"/>
        <v>0.18934074074074086</v>
      </c>
      <c r="DH56" s="320">
        <f t="shared" si="24"/>
        <v>0.2757407407407409</v>
      </c>
      <c r="DI56" s="320">
        <f t="shared" si="25"/>
        <v>0.25974074074074088</v>
      </c>
      <c r="DJ56" s="320">
        <f t="shared" si="26"/>
        <v>0.40107407407407419</v>
      </c>
      <c r="DK56" s="320">
        <f t="shared" si="27"/>
        <v>0</v>
      </c>
      <c r="DL56" s="320">
        <f t="shared" si="28"/>
        <v>0</v>
      </c>
      <c r="DM56" s="320">
        <f t="shared" si="29"/>
        <v>0</v>
      </c>
      <c r="DN56" s="320">
        <f t="shared" si="30"/>
        <v>0</v>
      </c>
      <c r="DO56" s="320">
        <f t="shared" si="31"/>
        <v>0</v>
      </c>
      <c r="DP56" s="320">
        <f t="shared" si="32"/>
        <v>0.59512500000000013</v>
      </c>
      <c r="DQ56" s="320">
        <f t="shared" si="33"/>
        <v>0.16507407407407421</v>
      </c>
      <c r="DR56" s="320">
        <f t="shared" si="34"/>
        <v>0.2139629629629631</v>
      </c>
      <c r="DS56" s="320">
        <f t="shared" si="35"/>
        <v>0.27396296296296307</v>
      </c>
      <c r="DT56" s="320">
        <f t="shared" si="36"/>
        <v>0.37174074074074087</v>
      </c>
      <c r="DU56" s="320">
        <f t="shared" si="37"/>
        <v>0.42285185185185198</v>
      </c>
      <c r="DV56" s="320">
        <f t="shared" si="38"/>
        <v>0.21618518518518531</v>
      </c>
      <c r="DW56" s="320">
        <f t="shared" si="39"/>
        <v>0.26062962962962977</v>
      </c>
      <c r="DX56" s="320">
        <f t="shared" si="40"/>
        <v>0.37174074074074087</v>
      </c>
      <c r="DY56" s="320">
        <f t="shared" si="41"/>
        <v>0.43840740740740752</v>
      </c>
      <c r="DZ56" s="320">
        <f t="shared" si="42"/>
        <v>0.41555555555555557</v>
      </c>
      <c r="EA56" s="320">
        <f t="shared" si="43"/>
        <v>0.47222222222222221</v>
      </c>
      <c r="EB56" s="320">
        <f t="shared" si="44"/>
        <v>0.54022222222222227</v>
      </c>
      <c r="EC56" s="320">
        <f t="shared" si="45"/>
        <v>0.85</v>
      </c>
      <c r="ED56" s="320">
        <f t="shared" si="46"/>
        <v>0.90666666666666662</v>
      </c>
      <c r="EE56" s="320">
        <f t="shared" si="47"/>
        <v>1</v>
      </c>
      <c r="EF56" s="320">
        <f t="shared" si="48"/>
        <v>0.49</v>
      </c>
      <c r="EG56" s="320">
        <f t="shared" si="48"/>
        <v>0.63</v>
      </c>
      <c r="EH56" s="320">
        <f t="shared" si="48"/>
        <v>0.75166666666666671</v>
      </c>
      <c r="EI56" s="320">
        <f t="shared" si="49"/>
        <v>1</v>
      </c>
      <c r="EJ56" s="320">
        <f t="shared" si="50"/>
        <v>0.54411111111110988</v>
      </c>
      <c r="EK56" s="321">
        <f t="shared" si="51"/>
        <v>1</v>
      </c>
    </row>
    <row r="57" spans="1:141">
      <c r="A57" s="21">
        <v>0</v>
      </c>
      <c r="B57" s="21">
        <v>5</v>
      </c>
      <c r="C57" s="21">
        <f t="shared" si="97"/>
        <v>2.5</v>
      </c>
      <c r="D57" s="21">
        <f t="shared" si="1"/>
        <v>31</v>
      </c>
      <c r="E57" s="184">
        <v>1</v>
      </c>
      <c r="F57" s="144">
        <f>F58*0.95</f>
        <v>1.9579499999999999</v>
      </c>
      <c r="G57" s="283">
        <f t="shared" si="52"/>
        <v>1</v>
      </c>
      <c r="H57" s="23">
        <f t="shared" si="3"/>
        <v>45000</v>
      </c>
      <c r="I57" s="119">
        <f t="shared" ref="I57:AY57" si="99">HLOOKUP(I$50,loadcorr,62,FALSE)</f>
        <v>4325</v>
      </c>
      <c r="J57" s="120">
        <f t="shared" si="99"/>
        <v>5250</v>
      </c>
      <c r="K57" s="120">
        <f t="shared" si="99"/>
        <v>6900</v>
      </c>
      <c r="L57" s="120">
        <f t="shared" si="99"/>
        <v>8600</v>
      </c>
      <c r="M57" s="120">
        <f t="shared" si="99"/>
        <v>4450</v>
      </c>
      <c r="N57" s="120">
        <f t="shared" si="99"/>
        <v>5425</v>
      </c>
      <c r="O57" s="120">
        <f t="shared" si="99"/>
        <v>6875</v>
      </c>
      <c r="P57" s="120">
        <f t="shared" si="99"/>
        <v>4350</v>
      </c>
      <c r="Q57" s="120">
        <f t="shared" si="99"/>
        <v>5675</v>
      </c>
      <c r="R57" s="120">
        <f t="shared" si="99"/>
        <v>7050</v>
      </c>
      <c r="S57" s="120">
        <f t="shared" si="99"/>
        <v>8025.0000000000009</v>
      </c>
      <c r="T57" s="120">
        <f t="shared" si="99"/>
        <v>11125</v>
      </c>
      <c r="U57" s="120">
        <f t="shared" si="99"/>
        <v>7206.1111111111122</v>
      </c>
      <c r="V57" s="120">
        <f t="shared" si="99"/>
        <v>9368.1111111111131</v>
      </c>
      <c r="W57" s="120">
        <f t="shared" si="99"/>
        <v>13256.111111111113</v>
      </c>
      <c r="X57" s="120">
        <f t="shared" si="99"/>
        <v>12536.111111111113</v>
      </c>
      <c r="Y57" s="120">
        <f t="shared" si="99"/>
        <v>18896.111111111113</v>
      </c>
      <c r="Z57" s="120">
        <f t="shared" si="99"/>
        <v>9875</v>
      </c>
      <c r="AA57" s="120">
        <f t="shared" si="99"/>
        <v>12337.5</v>
      </c>
      <c r="AB57" s="120">
        <f t="shared" si="99"/>
        <v>14328.600000000008</v>
      </c>
      <c r="AC57" s="120">
        <f t="shared" si="99"/>
        <v>17046.000000000004</v>
      </c>
      <c r="AD57" s="120">
        <f t="shared" si="99"/>
        <v>21402.199999999997</v>
      </c>
      <c r="AE57" s="120">
        <f t="shared" si="99"/>
        <v>29086.875000000004</v>
      </c>
      <c r="AF57" s="120">
        <f t="shared" si="99"/>
        <v>8276.1111111111131</v>
      </c>
      <c r="AG57" s="120">
        <f t="shared" si="99"/>
        <v>10476.111111111113</v>
      </c>
      <c r="AH57" s="120">
        <f t="shared" si="99"/>
        <v>13176.111111111113</v>
      </c>
      <c r="AI57" s="120">
        <f t="shared" si="99"/>
        <v>17576.111111111113</v>
      </c>
      <c r="AJ57" s="120">
        <f t="shared" si="99"/>
        <v>19876.111111111113</v>
      </c>
      <c r="AK57" s="120">
        <f t="shared" si="99"/>
        <v>10576.111111111113</v>
      </c>
      <c r="AL57" s="120">
        <f t="shared" si="99"/>
        <v>12576.111111111113</v>
      </c>
      <c r="AM57" s="120">
        <f t="shared" si="99"/>
        <v>17576.111111111113</v>
      </c>
      <c r="AN57" s="120">
        <f t="shared" si="99"/>
        <v>20576.111111111113</v>
      </c>
      <c r="AO57" s="120">
        <f t="shared" si="99"/>
        <v>20900</v>
      </c>
      <c r="AP57" s="120">
        <f t="shared" si="99"/>
        <v>23750</v>
      </c>
      <c r="AQ57" s="120">
        <f t="shared" si="99"/>
        <v>27170</v>
      </c>
      <c r="AR57" s="120">
        <f t="shared" si="99"/>
        <v>42750</v>
      </c>
      <c r="AS57" s="120">
        <f t="shared" si="99"/>
        <v>45600</v>
      </c>
      <c r="AT57" s="120">
        <f t="shared" si="99"/>
        <v>51300</v>
      </c>
      <c r="AU57" s="120">
        <f t="shared" si="99"/>
        <v>24150</v>
      </c>
      <c r="AV57" s="120">
        <f t="shared" si="99"/>
        <v>31050</v>
      </c>
      <c r="AW57" s="120">
        <f t="shared" si="99"/>
        <v>37675</v>
      </c>
      <c r="AX57" s="120">
        <f t="shared" si="99"/>
        <v>139840</v>
      </c>
      <c r="AY57" s="304">
        <f t="shared" si="99"/>
        <v>29774.999999999982</v>
      </c>
      <c r="AZ57" s="119">
        <f t="shared" si="55"/>
        <v>134075</v>
      </c>
      <c r="BA57" s="120">
        <f t="shared" si="56"/>
        <v>162750</v>
      </c>
      <c r="BB57" s="120">
        <f t="shared" si="57"/>
        <v>213900</v>
      </c>
      <c r="BC57" s="120">
        <f t="shared" si="58"/>
        <v>266600</v>
      </c>
      <c r="BD57" s="120">
        <f t="shared" si="59"/>
        <v>137950</v>
      </c>
      <c r="BE57" s="120">
        <f t="shared" si="60"/>
        <v>168175</v>
      </c>
      <c r="BF57" s="120">
        <f t="shared" si="61"/>
        <v>213125</v>
      </c>
      <c r="BG57" s="120">
        <f t="shared" si="62"/>
        <v>134850</v>
      </c>
      <c r="BH57" s="120">
        <f t="shared" si="63"/>
        <v>175925</v>
      </c>
      <c r="BI57" s="120">
        <f t="shared" si="64"/>
        <v>218550</v>
      </c>
      <c r="BJ57" s="120">
        <f t="shared" si="65"/>
        <v>248775.00000000003</v>
      </c>
      <c r="BK57" s="120">
        <f t="shared" si="66"/>
        <v>344875</v>
      </c>
      <c r="BL57" s="120">
        <f t="shared" si="67"/>
        <v>223389.44444444447</v>
      </c>
      <c r="BM57" s="120">
        <f t="shared" si="68"/>
        <v>290411.4444444445</v>
      </c>
      <c r="BN57" s="120">
        <f t="shared" si="69"/>
        <v>410939.4444444445</v>
      </c>
      <c r="BO57" s="120">
        <f t="shared" si="70"/>
        <v>388619.4444444445</v>
      </c>
      <c r="BP57" s="120">
        <f t="shared" si="71"/>
        <v>585779.4444444445</v>
      </c>
      <c r="BQ57" s="120">
        <f t="shared" si="72"/>
        <v>306125</v>
      </c>
      <c r="BR57" s="120">
        <f t="shared" si="73"/>
        <v>382462.5</v>
      </c>
      <c r="BS57" s="120">
        <f t="shared" si="74"/>
        <v>444186.60000000021</v>
      </c>
      <c r="BT57" s="120">
        <f t="shared" si="75"/>
        <v>528426.00000000012</v>
      </c>
      <c r="BU57" s="120">
        <f t="shared" si="76"/>
        <v>663468.19999999995</v>
      </c>
      <c r="BV57" s="120">
        <f t="shared" si="77"/>
        <v>901693.12500000012</v>
      </c>
      <c r="BW57" s="120">
        <f t="shared" si="78"/>
        <v>256559.4444444445</v>
      </c>
      <c r="BX57" s="120">
        <f t="shared" si="79"/>
        <v>324759.4444444445</v>
      </c>
      <c r="BY57" s="120">
        <f t="shared" si="80"/>
        <v>408459.4444444445</v>
      </c>
      <c r="BZ57" s="120">
        <f t="shared" si="81"/>
        <v>544859.4444444445</v>
      </c>
      <c r="CA57" s="120">
        <f t="shared" si="82"/>
        <v>616159.4444444445</v>
      </c>
      <c r="CB57" s="120">
        <f t="shared" si="83"/>
        <v>327859.4444444445</v>
      </c>
      <c r="CC57" s="120">
        <f t="shared" si="84"/>
        <v>389859.4444444445</v>
      </c>
      <c r="CD57" s="120">
        <f t="shared" si="85"/>
        <v>544859.4444444445</v>
      </c>
      <c r="CE57" s="120">
        <f t="shared" si="86"/>
        <v>637859.4444444445</v>
      </c>
      <c r="CF57" s="120">
        <f t="shared" si="87"/>
        <v>647900</v>
      </c>
      <c r="CG57" s="120">
        <f t="shared" si="88"/>
        <v>736250</v>
      </c>
      <c r="CH57" s="120">
        <f t="shared" si="89"/>
        <v>842270</v>
      </c>
      <c r="CI57" s="120">
        <f t="shared" si="90"/>
        <v>1325250</v>
      </c>
      <c r="CJ57" s="120">
        <f t="shared" si="91"/>
        <v>1395000</v>
      </c>
      <c r="CK57" s="120">
        <f t="shared" si="92"/>
        <v>1395000</v>
      </c>
      <c r="CL57" s="120">
        <f t="shared" si="6"/>
        <v>748650</v>
      </c>
      <c r="CM57" s="120">
        <f t="shared" si="6"/>
        <v>962550</v>
      </c>
      <c r="CN57" s="120">
        <f t="shared" si="6"/>
        <v>1167925</v>
      </c>
      <c r="CO57" s="120">
        <f t="shared" si="7"/>
        <v>1395000</v>
      </c>
      <c r="CP57" s="120">
        <f t="shared" si="8"/>
        <v>923024.99999999942</v>
      </c>
      <c r="CQ57" s="120">
        <f t="shared" si="93"/>
        <v>1395000</v>
      </c>
      <c r="CR57" s="120">
        <f>SUM(CQ57:CQ80)</f>
        <v>57390177.865612641</v>
      </c>
      <c r="CS57" s="321">
        <f t="shared" si="9"/>
        <v>0.9992165080413733</v>
      </c>
      <c r="CT57" s="319">
        <f t="shared" si="10"/>
        <v>9.6111111111111105E-2</v>
      </c>
      <c r="CU57" s="320">
        <f t="shared" si="11"/>
        <v>0.11666666666666667</v>
      </c>
      <c r="CV57" s="320">
        <f t="shared" si="12"/>
        <v>0.15333333333333332</v>
      </c>
      <c r="CW57" s="320">
        <f t="shared" si="13"/>
        <v>0.19111111111111112</v>
      </c>
      <c r="CX57" s="320">
        <f t="shared" si="14"/>
        <v>9.8888888888888887E-2</v>
      </c>
      <c r="CY57" s="320">
        <f t="shared" si="15"/>
        <v>0.12055555555555555</v>
      </c>
      <c r="CZ57" s="320">
        <f t="shared" si="16"/>
        <v>0.15277777777777779</v>
      </c>
      <c r="DA57" s="320">
        <f t="shared" si="17"/>
        <v>9.6666666666666665E-2</v>
      </c>
      <c r="DB57" s="320">
        <f t="shared" si="18"/>
        <v>0.12611111111111112</v>
      </c>
      <c r="DC57" s="320">
        <f t="shared" si="19"/>
        <v>0.15666666666666668</v>
      </c>
      <c r="DD57" s="320">
        <f t="shared" si="20"/>
        <v>0.17833333333333334</v>
      </c>
      <c r="DE57" s="320">
        <f t="shared" si="21"/>
        <v>0.24722222222222223</v>
      </c>
      <c r="DF57" s="320">
        <f t="shared" si="22"/>
        <v>0.16013580246913581</v>
      </c>
      <c r="DG57" s="320">
        <f t="shared" si="23"/>
        <v>0.20818024691358028</v>
      </c>
      <c r="DH57" s="320">
        <f t="shared" si="24"/>
        <v>0.29458024691358026</v>
      </c>
      <c r="DI57" s="320">
        <f t="shared" si="25"/>
        <v>0.2785802469135803</v>
      </c>
      <c r="DJ57" s="320">
        <f t="shared" si="26"/>
        <v>0.41991358024691361</v>
      </c>
      <c r="DK57" s="320">
        <f t="shared" si="27"/>
        <v>0.21944444444444444</v>
      </c>
      <c r="DL57" s="320">
        <f t="shared" si="28"/>
        <v>0.27416666666666667</v>
      </c>
      <c r="DM57" s="320">
        <f t="shared" si="29"/>
        <v>0.31841333333333349</v>
      </c>
      <c r="DN57" s="320">
        <f t="shared" si="30"/>
        <v>0.37880000000000008</v>
      </c>
      <c r="DO57" s="320">
        <f t="shared" si="31"/>
        <v>0.47560444444444439</v>
      </c>
      <c r="DP57" s="320">
        <f t="shared" si="32"/>
        <v>0.64637500000000003</v>
      </c>
      <c r="DQ57" s="320">
        <f t="shared" si="33"/>
        <v>0.18391358024691362</v>
      </c>
      <c r="DR57" s="320">
        <f t="shared" si="34"/>
        <v>0.23280246913580252</v>
      </c>
      <c r="DS57" s="320">
        <f t="shared" si="35"/>
        <v>0.29280246913580249</v>
      </c>
      <c r="DT57" s="320">
        <f t="shared" si="36"/>
        <v>0.39058024691358029</v>
      </c>
      <c r="DU57" s="320">
        <f t="shared" si="37"/>
        <v>0.44169135802469139</v>
      </c>
      <c r="DV57" s="320">
        <f t="shared" si="38"/>
        <v>0.23502469135802473</v>
      </c>
      <c r="DW57" s="320">
        <f t="shared" si="39"/>
        <v>0.27946913580246918</v>
      </c>
      <c r="DX57" s="320">
        <f t="shared" si="40"/>
        <v>0.39058024691358029</v>
      </c>
      <c r="DY57" s="320">
        <f t="shared" si="41"/>
        <v>0.45724691358024694</v>
      </c>
      <c r="DZ57" s="320">
        <f t="shared" si="42"/>
        <v>0.46444444444444444</v>
      </c>
      <c r="EA57" s="320">
        <f t="shared" si="43"/>
        <v>0.52777777777777779</v>
      </c>
      <c r="EB57" s="320">
        <f t="shared" si="44"/>
        <v>0.60377777777777775</v>
      </c>
      <c r="EC57" s="320">
        <f t="shared" si="45"/>
        <v>0.95</v>
      </c>
      <c r="ED57" s="320">
        <f t="shared" si="46"/>
        <v>1</v>
      </c>
      <c r="EE57" s="320">
        <f t="shared" si="47"/>
        <v>1</v>
      </c>
      <c r="EF57" s="320">
        <f t="shared" si="48"/>
        <v>0.53666666666666663</v>
      </c>
      <c r="EG57" s="320">
        <f t="shared" si="48"/>
        <v>0.69</v>
      </c>
      <c r="EH57" s="320">
        <f t="shared" si="48"/>
        <v>0.8372222222222222</v>
      </c>
      <c r="EI57" s="320">
        <f t="shared" si="49"/>
        <v>1</v>
      </c>
      <c r="EJ57" s="320">
        <f t="shared" si="50"/>
        <v>0.66166666666666629</v>
      </c>
      <c r="EK57" s="321">
        <f t="shared" si="51"/>
        <v>1</v>
      </c>
    </row>
    <row r="58" spans="1:141">
      <c r="A58" s="21">
        <v>5</v>
      </c>
      <c r="B58" s="21">
        <v>10</v>
      </c>
      <c r="C58" s="21">
        <f t="shared" si="97"/>
        <v>7.5</v>
      </c>
      <c r="D58" s="21">
        <f t="shared" si="1"/>
        <v>64</v>
      </c>
      <c r="E58" s="184">
        <v>1</v>
      </c>
      <c r="F58" s="144">
        <f>cop_5</f>
        <v>2.0609999999999999</v>
      </c>
      <c r="G58" s="283">
        <f t="shared" si="52"/>
        <v>0.76086956521739135</v>
      </c>
      <c r="H58" s="23">
        <f t="shared" si="3"/>
        <v>34239.130434782608</v>
      </c>
      <c r="I58" s="119">
        <f t="shared" ref="I58:AY58" si="100">HLOOKUP(I$50,loadcorr,72,FALSE)</f>
        <v>5195.8333333333348</v>
      </c>
      <c r="J58" s="120">
        <f t="shared" si="100"/>
        <v>6625</v>
      </c>
      <c r="K58" s="120">
        <f t="shared" si="100"/>
        <v>8733.3333333333321</v>
      </c>
      <c r="L58" s="120">
        <f t="shared" si="100"/>
        <v>10250</v>
      </c>
      <c r="M58" s="120">
        <f t="shared" si="100"/>
        <v>5091.6666666666652</v>
      </c>
      <c r="N58" s="120">
        <f t="shared" si="100"/>
        <v>6479.1666666666652</v>
      </c>
      <c r="O58" s="120">
        <f t="shared" si="100"/>
        <v>8754.1666666666679</v>
      </c>
      <c r="P58" s="120">
        <f t="shared" si="100"/>
        <v>5175</v>
      </c>
      <c r="Q58" s="120">
        <f t="shared" si="100"/>
        <v>6820.8333333333348</v>
      </c>
      <c r="R58" s="120">
        <f t="shared" si="100"/>
        <v>8608.3333333333321</v>
      </c>
      <c r="S58" s="120">
        <f t="shared" si="100"/>
        <v>9995.8333333333303</v>
      </c>
      <c r="T58" s="120">
        <f t="shared" si="100"/>
        <v>12912.5</v>
      </c>
      <c r="U58" s="120">
        <f t="shared" si="100"/>
        <v>8290.4166666666642</v>
      </c>
      <c r="V58" s="120">
        <f t="shared" si="100"/>
        <v>10252</v>
      </c>
      <c r="W58" s="120">
        <f t="shared" si="100"/>
        <v>14246.66666666667</v>
      </c>
      <c r="X58" s="120">
        <f t="shared" si="100"/>
        <v>14051.66666666667</v>
      </c>
      <c r="Y58" s="120">
        <f t="shared" si="100"/>
        <v>20420</v>
      </c>
      <c r="Z58" s="120">
        <f t="shared" si="100"/>
        <v>11937.5</v>
      </c>
      <c r="AA58" s="120">
        <f t="shared" si="100"/>
        <v>14468.75</v>
      </c>
      <c r="AB58" s="120">
        <f t="shared" si="100"/>
        <v>16897.833333333332</v>
      </c>
      <c r="AC58" s="120">
        <f t="shared" si="100"/>
        <v>20115</v>
      </c>
      <c r="AD58" s="120">
        <f t="shared" si="100"/>
        <v>25255.499999999996</v>
      </c>
      <c r="AE58" s="120">
        <f t="shared" si="100"/>
        <v>30701.250000000004</v>
      </c>
      <c r="AF58" s="120">
        <f t="shared" si="100"/>
        <v>9116.6666666666697</v>
      </c>
      <c r="AG58" s="120">
        <f t="shared" si="100"/>
        <v>11170.83333333333</v>
      </c>
      <c r="AH58" s="120">
        <f t="shared" si="100"/>
        <v>13600</v>
      </c>
      <c r="AI58" s="120">
        <f t="shared" si="100"/>
        <v>18000</v>
      </c>
      <c r="AJ58" s="120">
        <f t="shared" si="100"/>
        <v>20300</v>
      </c>
      <c r="AK58" s="120">
        <f t="shared" si="100"/>
        <v>11500</v>
      </c>
      <c r="AL58" s="120">
        <f t="shared" si="100"/>
        <v>13375</v>
      </c>
      <c r="AM58" s="120">
        <f t="shared" si="100"/>
        <v>18520.833333333339</v>
      </c>
      <c r="AN58" s="120">
        <f t="shared" si="100"/>
        <v>21416.666666666661</v>
      </c>
      <c r="AO58" s="120">
        <f t="shared" si="100"/>
        <v>22000</v>
      </c>
      <c r="AP58" s="120">
        <f t="shared" si="100"/>
        <v>25000</v>
      </c>
      <c r="AQ58" s="120">
        <f t="shared" si="100"/>
        <v>28600</v>
      </c>
      <c r="AR58" s="120">
        <f t="shared" si="100"/>
        <v>45000</v>
      </c>
      <c r="AS58" s="120">
        <f t="shared" si="100"/>
        <v>48000</v>
      </c>
      <c r="AT58" s="120">
        <f t="shared" si="100"/>
        <v>54000</v>
      </c>
      <c r="AU58" s="120">
        <f t="shared" si="100"/>
        <v>26250</v>
      </c>
      <c r="AV58" s="120">
        <f t="shared" si="100"/>
        <v>33750</v>
      </c>
      <c r="AW58" s="120">
        <f t="shared" si="100"/>
        <v>41525</v>
      </c>
      <c r="AX58" s="120">
        <f t="shared" si="100"/>
        <v>147200</v>
      </c>
      <c r="AY58" s="304">
        <f t="shared" si="100"/>
        <v>34624.166666666679</v>
      </c>
      <c r="AZ58" s="119">
        <f t="shared" si="55"/>
        <v>332533.33333333343</v>
      </c>
      <c r="BA58" s="120">
        <f t="shared" si="56"/>
        <v>424000</v>
      </c>
      <c r="BB58" s="120">
        <f t="shared" si="57"/>
        <v>558933.33333333326</v>
      </c>
      <c r="BC58" s="120">
        <f t="shared" si="58"/>
        <v>656000</v>
      </c>
      <c r="BD58" s="120">
        <f t="shared" si="59"/>
        <v>325866.66666666657</v>
      </c>
      <c r="BE58" s="120">
        <f t="shared" si="60"/>
        <v>414666.66666666657</v>
      </c>
      <c r="BF58" s="120">
        <f t="shared" si="61"/>
        <v>560266.66666666674</v>
      </c>
      <c r="BG58" s="120">
        <f t="shared" si="62"/>
        <v>331200</v>
      </c>
      <c r="BH58" s="120">
        <f t="shared" si="63"/>
        <v>436533.33333333343</v>
      </c>
      <c r="BI58" s="120">
        <f t="shared" si="64"/>
        <v>550933.33333333326</v>
      </c>
      <c r="BJ58" s="120">
        <f t="shared" si="65"/>
        <v>639733.33333333314</v>
      </c>
      <c r="BK58" s="120">
        <f t="shared" si="66"/>
        <v>826400</v>
      </c>
      <c r="BL58" s="120">
        <f t="shared" si="67"/>
        <v>530586.66666666651</v>
      </c>
      <c r="BM58" s="120">
        <f t="shared" si="68"/>
        <v>656128</v>
      </c>
      <c r="BN58" s="120">
        <f t="shared" si="69"/>
        <v>911786.66666666686</v>
      </c>
      <c r="BO58" s="120">
        <f t="shared" si="70"/>
        <v>899306.66666666686</v>
      </c>
      <c r="BP58" s="120">
        <f t="shared" si="71"/>
        <v>1306880</v>
      </c>
      <c r="BQ58" s="120">
        <f t="shared" si="72"/>
        <v>764000</v>
      </c>
      <c r="BR58" s="120">
        <f t="shared" si="73"/>
        <v>926000</v>
      </c>
      <c r="BS58" s="120">
        <f t="shared" si="74"/>
        <v>1081461.3333333333</v>
      </c>
      <c r="BT58" s="120">
        <f t="shared" si="75"/>
        <v>1287360</v>
      </c>
      <c r="BU58" s="120">
        <f t="shared" si="76"/>
        <v>1616351.9999999998</v>
      </c>
      <c r="BV58" s="120">
        <f t="shared" si="77"/>
        <v>1964880.0000000002</v>
      </c>
      <c r="BW58" s="120">
        <f t="shared" si="78"/>
        <v>583466.66666666686</v>
      </c>
      <c r="BX58" s="120">
        <f t="shared" si="79"/>
        <v>714933.33333333314</v>
      </c>
      <c r="BY58" s="120">
        <f t="shared" si="80"/>
        <v>870400</v>
      </c>
      <c r="BZ58" s="120">
        <f t="shared" si="81"/>
        <v>1152000</v>
      </c>
      <c r="CA58" s="120">
        <f t="shared" si="82"/>
        <v>1299200</v>
      </c>
      <c r="CB58" s="120">
        <f t="shared" si="83"/>
        <v>736000</v>
      </c>
      <c r="CC58" s="120">
        <f t="shared" si="84"/>
        <v>856000</v>
      </c>
      <c r="CD58" s="120">
        <f t="shared" si="85"/>
        <v>1185333.3333333337</v>
      </c>
      <c r="CE58" s="120">
        <f t="shared" si="86"/>
        <v>1370666.6666666663</v>
      </c>
      <c r="CF58" s="120">
        <f t="shared" si="87"/>
        <v>1408000</v>
      </c>
      <c r="CG58" s="120">
        <f t="shared" si="88"/>
        <v>1600000</v>
      </c>
      <c r="CH58" s="120">
        <f t="shared" si="89"/>
        <v>1830400</v>
      </c>
      <c r="CI58" s="120">
        <f t="shared" si="90"/>
        <v>2191304.3478260869</v>
      </c>
      <c r="CJ58" s="120">
        <f t="shared" si="91"/>
        <v>2191304.3478260869</v>
      </c>
      <c r="CK58" s="120">
        <f t="shared" si="92"/>
        <v>2191304.3478260869</v>
      </c>
      <c r="CL58" s="120">
        <f t="shared" si="6"/>
        <v>1680000</v>
      </c>
      <c r="CM58" s="120">
        <f t="shared" si="6"/>
        <v>2160000</v>
      </c>
      <c r="CN58" s="120">
        <f t="shared" si="6"/>
        <v>2191304.3478260869</v>
      </c>
      <c r="CO58" s="120">
        <f t="shared" si="7"/>
        <v>2191304.3478260869</v>
      </c>
      <c r="CP58" s="120">
        <f t="shared" si="8"/>
        <v>2191304.3478260869</v>
      </c>
      <c r="CQ58" s="120">
        <f t="shared" si="93"/>
        <v>2191304.3478260869</v>
      </c>
      <c r="CR58" s="120">
        <f>SUM(CQ58:CQ80)</f>
        <v>55995177.865612641</v>
      </c>
      <c r="CS58" s="321">
        <f t="shared" si="9"/>
        <v>0.97492825732394661</v>
      </c>
      <c r="CT58" s="319">
        <f t="shared" si="10"/>
        <v>0.1517513227513228</v>
      </c>
      <c r="CU58" s="320">
        <f t="shared" si="11"/>
        <v>0.19349206349206349</v>
      </c>
      <c r="CV58" s="320">
        <f t="shared" si="12"/>
        <v>0.25506878306878306</v>
      </c>
      <c r="CW58" s="320">
        <f t="shared" si="13"/>
        <v>0.29936507936507939</v>
      </c>
      <c r="CX58" s="320">
        <f t="shared" si="14"/>
        <v>0.14870899470899468</v>
      </c>
      <c r="CY58" s="320">
        <f t="shared" si="15"/>
        <v>0.1892328042328042</v>
      </c>
      <c r="CZ58" s="320">
        <f t="shared" si="16"/>
        <v>0.25567724867724873</v>
      </c>
      <c r="DA58" s="320">
        <f t="shared" si="17"/>
        <v>0.15114285714285713</v>
      </c>
      <c r="DB58" s="320">
        <f t="shared" si="18"/>
        <v>0.19921164021164026</v>
      </c>
      <c r="DC58" s="320">
        <f t="shared" si="19"/>
        <v>0.25141798941798937</v>
      </c>
      <c r="DD58" s="320">
        <f t="shared" si="20"/>
        <v>0.29194179894179884</v>
      </c>
      <c r="DE58" s="320">
        <f t="shared" si="21"/>
        <v>0.37712698412698414</v>
      </c>
      <c r="DF58" s="320">
        <f t="shared" si="22"/>
        <v>0.24213280423280417</v>
      </c>
      <c r="DG58" s="320">
        <f t="shared" si="23"/>
        <v>0.29942349206349206</v>
      </c>
      <c r="DH58" s="320">
        <f t="shared" si="24"/>
        <v>0.41609312169312179</v>
      </c>
      <c r="DI58" s="320">
        <f t="shared" si="25"/>
        <v>0.41039788359788371</v>
      </c>
      <c r="DJ58" s="320">
        <f t="shared" si="26"/>
        <v>0.59639365079365081</v>
      </c>
      <c r="DK58" s="320">
        <f t="shared" si="27"/>
        <v>0.34865079365079366</v>
      </c>
      <c r="DL58" s="320">
        <f t="shared" si="28"/>
        <v>0.42257936507936511</v>
      </c>
      <c r="DM58" s="320">
        <f t="shared" si="29"/>
        <v>0.49352402116402116</v>
      </c>
      <c r="DN58" s="320">
        <f t="shared" si="30"/>
        <v>0.58748571428571428</v>
      </c>
      <c r="DO58" s="320">
        <f t="shared" si="31"/>
        <v>0.73762095238095227</v>
      </c>
      <c r="DP58" s="320">
        <f t="shared" si="32"/>
        <v>0.89667142857142867</v>
      </c>
      <c r="DQ58" s="320">
        <f t="shared" si="33"/>
        <v>0.26626455026455037</v>
      </c>
      <c r="DR58" s="320">
        <f t="shared" si="34"/>
        <v>0.32625925925925919</v>
      </c>
      <c r="DS58" s="320">
        <f t="shared" si="35"/>
        <v>0.39720634920634923</v>
      </c>
      <c r="DT58" s="320">
        <f t="shared" si="36"/>
        <v>0.52571428571428569</v>
      </c>
      <c r="DU58" s="320">
        <f t="shared" si="37"/>
        <v>0.59288888888888891</v>
      </c>
      <c r="DV58" s="320">
        <f t="shared" si="38"/>
        <v>0.33587301587301588</v>
      </c>
      <c r="DW58" s="320">
        <f t="shared" si="39"/>
        <v>0.39063492063492067</v>
      </c>
      <c r="DX58" s="320">
        <f t="shared" si="40"/>
        <v>0.54092592592592614</v>
      </c>
      <c r="DY58" s="320">
        <f t="shared" si="41"/>
        <v>0.62550264550264534</v>
      </c>
      <c r="DZ58" s="320">
        <f t="shared" si="42"/>
        <v>0.64253968253968252</v>
      </c>
      <c r="EA58" s="320">
        <f t="shared" si="43"/>
        <v>0.73015873015873012</v>
      </c>
      <c r="EB58" s="320">
        <f t="shared" si="44"/>
        <v>0.83530158730158732</v>
      </c>
      <c r="EC58" s="320">
        <f t="shared" si="45"/>
        <v>1</v>
      </c>
      <c r="ED58" s="320">
        <f t="shared" si="46"/>
        <v>1</v>
      </c>
      <c r="EE58" s="320">
        <f t="shared" si="47"/>
        <v>1</v>
      </c>
      <c r="EF58" s="320">
        <f t="shared" si="48"/>
        <v>0.76666666666666672</v>
      </c>
      <c r="EG58" s="320">
        <f t="shared" si="48"/>
        <v>0.98571428571428577</v>
      </c>
      <c r="EH58" s="320">
        <f t="shared" si="48"/>
        <v>1</v>
      </c>
      <c r="EI58" s="320">
        <f t="shared" si="49"/>
        <v>1</v>
      </c>
      <c r="EJ58" s="320">
        <f t="shared" si="50"/>
        <v>1</v>
      </c>
      <c r="EK58" s="321">
        <f t="shared" si="51"/>
        <v>1</v>
      </c>
    </row>
    <row r="59" spans="1:141">
      <c r="A59" s="21">
        <v>10</v>
      </c>
      <c r="B59" s="21">
        <v>15</v>
      </c>
      <c r="C59" s="21">
        <f t="shared" si="97"/>
        <v>12.5</v>
      </c>
      <c r="D59" s="21">
        <f t="shared" si="1"/>
        <v>220</v>
      </c>
      <c r="E59" s="1">
        <f>E58-($E$58-$E$69)/11</f>
        <v>0.92727272727272725</v>
      </c>
      <c r="F59" s="144">
        <f>(F58+F60)/2</f>
        <v>2.286</v>
      </c>
      <c r="G59" s="283">
        <f t="shared" si="52"/>
        <v>0.68840579710144922</v>
      </c>
      <c r="H59" s="23">
        <f>G59*heat_load</f>
        <v>30978.260869565216</v>
      </c>
      <c r="I59" s="119">
        <f t="shared" ref="I59:AY59" si="101">HLOOKUP(I$50,loadcorr,82,FALSE)</f>
        <v>5987.5000000000045</v>
      </c>
      <c r="J59" s="120">
        <f t="shared" si="101"/>
        <v>7875</v>
      </c>
      <c r="K59" s="120">
        <f t="shared" si="101"/>
        <v>10399.999999999993</v>
      </c>
      <c r="L59" s="120">
        <f t="shared" si="101"/>
        <v>11750</v>
      </c>
      <c r="M59" s="120">
        <f t="shared" si="101"/>
        <v>5674.9999999999955</v>
      </c>
      <c r="N59" s="120">
        <f t="shared" si="101"/>
        <v>7437.4999999999955</v>
      </c>
      <c r="O59" s="120">
        <f t="shared" si="101"/>
        <v>10462.500000000007</v>
      </c>
      <c r="P59" s="120">
        <f t="shared" si="101"/>
        <v>5925</v>
      </c>
      <c r="Q59" s="120">
        <f t="shared" si="101"/>
        <v>7862.5000000000045</v>
      </c>
      <c r="R59" s="120">
        <f t="shared" si="101"/>
        <v>10024.999999999993</v>
      </c>
      <c r="S59" s="120">
        <f t="shared" si="101"/>
        <v>11787.499999999991</v>
      </c>
      <c r="T59" s="120">
        <f t="shared" si="101"/>
        <v>14537.5</v>
      </c>
      <c r="U59" s="120">
        <f t="shared" si="101"/>
        <v>9611.2500000000036</v>
      </c>
      <c r="V59" s="120">
        <f t="shared" si="101"/>
        <v>11172</v>
      </c>
      <c r="W59" s="120">
        <f t="shared" si="101"/>
        <v>15380.000000000009</v>
      </c>
      <c r="X59" s="120">
        <f t="shared" si="101"/>
        <v>16235.000000000009</v>
      </c>
      <c r="Y59" s="120">
        <f t="shared" si="101"/>
        <v>22620</v>
      </c>
      <c r="Z59" s="120">
        <f t="shared" si="101"/>
        <v>13812.5</v>
      </c>
      <c r="AA59" s="120">
        <f t="shared" si="101"/>
        <v>16406.25</v>
      </c>
      <c r="AB59" s="120">
        <f t="shared" si="101"/>
        <v>19233.499999999989</v>
      </c>
      <c r="AC59" s="120">
        <f t="shared" si="101"/>
        <v>22905</v>
      </c>
      <c r="AD59" s="120">
        <f t="shared" si="101"/>
        <v>28758.499999999989</v>
      </c>
      <c r="AE59" s="120">
        <f t="shared" si="101"/>
        <v>31623.750000000004</v>
      </c>
      <c r="AF59" s="120">
        <f t="shared" si="101"/>
        <v>9950.0000000000091</v>
      </c>
      <c r="AG59" s="120">
        <f t="shared" si="101"/>
        <v>11712.499999999991</v>
      </c>
      <c r="AH59" s="120">
        <f t="shared" si="101"/>
        <v>13600</v>
      </c>
      <c r="AI59" s="120">
        <f t="shared" si="101"/>
        <v>18000</v>
      </c>
      <c r="AJ59" s="120">
        <f t="shared" si="101"/>
        <v>20300</v>
      </c>
      <c r="AK59" s="120">
        <f t="shared" si="101"/>
        <v>12500</v>
      </c>
      <c r="AL59" s="120">
        <f t="shared" si="101"/>
        <v>14125</v>
      </c>
      <c r="AM59" s="120">
        <f t="shared" si="101"/>
        <v>19562.500000000018</v>
      </c>
      <c r="AN59" s="120">
        <f t="shared" si="101"/>
        <v>22249.999999999982</v>
      </c>
      <c r="AO59" s="120">
        <f t="shared" si="101"/>
        <v>22000</v>
      </c>
      <c r="AP59" s="120">
        <f t="shared" si="101"/>
        <v>25000</v>
      </c>
      <c r="AQ59" s="120">
        <f t="shared" si="101"/>
        <v>28600</v>
      </c>
      <c r="AR59" s="120">
        <f t="shared" si="101"/>
        <v>45000</v>
      </c>
      <c r="AS59" s="120">
        <f t="shared" si="101"/>
        <v>48000</v>
      </c>
      <c r="AT59" s="120">
        <f t="shared" si="101"/>
        <v>54000</v>
      </c>
      <c r="AU59" s="120">
        <f t="shared" si="101"/>
        <v>28350</v>
      </c>
      <c r="AV59" s="120">
        <f t="shared" si="101"/>
        <v>36450</v>
      </c>
      <c r="AW59" s="120">
        <f t="shared" si="101"/>
        <v>45375</v>
      </c>
      <c r="AX59" s="120">
        <f t="shared" si="101"/>
        <v>147200</v>
      </c>
      <c r="AY59" s="304">
        <f t="shared" si="101"/>
        <v>39032.500000000036</v>
      </c>
      <c r="AZ59" s="119">
        <f t="shared" si="55"/>
        <v>1221450.0000000009</v>
      </c>
      <c r="BA59" s="120">
        <f t="shared" si="56"/>
        <v>1606500</v>
      </c>
      <c r="BB59" s="120">
        <f t="shared" si="57"/>
        <v>2121599.9999999986</v>
      </c>
      <c r="BC59" s="120">
        <f t="shared" si="58"/>
        <v>2397000</v>
      </c>
      <c r="BD59" s="120">
        <f t="shared" si="59"/>
        <v>1157699.9999999991</v>
      </c>
      <c r="BE59" s="120">
        <f t="shared" si="60"/>
        <v>1517249.9999999991</v>
      </c>
      <c r="BF59" s="120">
        <f t="shared" si="61"/>
        <v>2134350.0000000014</v>
      </c>
      <c r="BG59" s="120">
        <f t="shared" si="62"/>
        <v>1208700</v>
      </c>
      <c r="BH59" s="120">
        <f t="shared" si="63"/>
        <v>1603950.0000000009</v>
      </c>
      <c r="BI59" s="120">
        <f t="shared" si="64"/>
        <v>2045099.9999999986</v>
      </c>
      <c r="BJ59" s="120">
        <f t="shared" si="65"/>
        <v>2404649.9999999981</v>
      </c>
      <c r="BK59" s="120">
        <f t="shared" si="66"/>
        <v>2965650</v>
      </c>
      <c r="BL59" s="120">
        <f t="shared" si="67"/>
        <v>1960695.0000000007</v>
      </c>
      <c r="BM59" s="120">
        <f t="shared" si="68"/>
        <v>2279088</v>
      </c>
      <c r="BN59" s="120">
        <f t="shared" si="69"/>
        <v>3137520.0000000019</v>
      </c>
      <c r="BO59" s="120">
        <f t="shared" si="70"/>
        <v>3311940.0000000019</v>
      </c>
      <c r="BP59" s="120">
        <f t="shared" si="71"/>
        <v>4614480</v>
      </c>
      <c r="BQ59" s="120">
        <f t="shared" si="72"/>
        <v>2817750</v>
      </c>
      <c r="BR59" s="120">
        <f t="shared" si="73"/>
        <v>3346875</v>
      </c>
      <c r="BS59" s="120">
        <f t="shared" si="74"/>
        <v>3923633.9999999972</v>
      </c>
      <c r="BT59" s="120">
        <f t="shared" si="75"/>
        <v>4672620</v>
      </c>
      <c r="BU59" s="120">
        <f t="shared" si="76"/>
        <v>5866733.9999999972</v>
      </c>
      <c r="BV59" s="120">
        <f t="shared" si="77"/>
        <v>6319565.2173913037</v>
      </c>
      <c r="BW59" s="120">
        <f t="shared" si="78"/>
        <v>2029800.0000000016</v>
      </c>
      <c r="BX59" s="120">
        <f t="shared" si="79"/>
        <v>2389349.9999999981</v>
      </c>
      <c r="BY59" s="120">
        <f t="shared" si="80"/>
        <v>2774400</v>
      </c>
      <c r="BZ59" s="120">
        <f t="shared" si="81"/>
        <v>3672000</v>
      </c>
      <c r="CA59" s="120">
        <f t="shared" si="82"/>
        <v>4141200</v>
      </c>
      <c r="CB59" s="120">
        <f t="shared" si="83"/>
        <v>2550000</v>
      </c>
      <c r="CC59" s="120">
        <f t="shared" si="84"/>
        <v>2881500</v>
      </c>
      <c r="CD59" s="120">
        <f t="shared" si="85"/>
        <v>3990750.0000000033</v>
      </c>
      <c r="CE59" s="120">
        <f t="shared" si="86"/>
        <v>4538999.9999999963</v>
      </c>
      <c r="CF59" s="120">
        <f t="shared" si="87"/>
        <v>4488000</v>
      </c>
      <c r="CG59" s="120">
        <f t="shared" si="88"/>
        <v>5100000</v>
      </c>
      <c r="CH59" s="120">
        <f t="shared" si="89"/>
        <v>5834400</v>
      </c>
      <c r="CI59" s="120">
        <f t="shared" si="90"/>
        <v>6319565.2173913037</v>
      </c>
      <c r="CJ59" s="120">
        <f t="shared" si="91"/>
        <v>6319565.2173913037</v>
      </c>
      <c r="CK59" s="120">
        <f t="shared" si="92"/>
        <v>6319565.2173913037</v>
      </c>
      <c r="CL59" s="120">
        <f t="shared" si="6"/>
        <v>5783400</v>
      </c>
      <c r="CM59" s="120">
        <f t="shared" si="6"/>
        <v>6319565.2173913037</v>
      </c>
      <c r="CN59" s="120">
        <f t="shared" si="6"/>
        <v>6319565.2173913037</v>
      </c>
      <c r="CO59" s="120">
        <f t="shared" si="7"/>
        <v>6319565.2173913037</v>
      </c>
      <c r="CP59" s="120">
        <f t="shared" si="8"/>
        <v>6319565.2173913037</v>
      </c>
      <c r="CQ59" s="120">
        <f t="shared" si="93"/>
        <v>6319565.2173913037</v>
      </c>
      <c r="CR59" s="120">
        <f>SUM(CQ59:CQ80)</f>
        <v>53803873.517786555</v>
      </c>
      <c r="CS59" s="321">
        <f t="shared" si="9"/>
        <v>0.93677560542560445</v>
      </c>
      <c r="CT59" s="319">
        <f t="shared" si="10"/>
        <v>0.19328070175438614</v>
      </c>
      <c r="CU59" s="320">
        <f t="shared" si="11"/>
        <v>0.2542105263157895</v>
      </c>
      <c r="CV59" s="320">
        <f t="shared" si="12"/>
        <v>0.33571929824561386</v>
      </c>
      <c r="CW59" s="320">
        <f t="shared" si="13"/>
        <v>0.37929824561403513</v>
      </c>
      <c r="CX59" s="320">
        <f t="shared" si="14"/>
        <v>0.18319298245614021</v>
      </c>
      <c r="CY59" s="320">
        <f t="shared" si="15"/>
        <v>0.24008771929824549</v>
      </c>
      <c r="CZ59" s="320">
        <f t="shared" si="16"/>
        <v>0.33773684210526339</v>
      </c>
      <c r="DA59" s="320">
        <f t="shared" si="17"/>
        <v>0.19126315789473686</v>
      </c>
      <c r="DB59" s="320">
        <f t="shared" si="18"/>
        <v>0.25380701754385981</v>
      </c>
      <c r="DC59" s="320">
        <f t="shared" si="19"/>
        <v>0.32361403508771913</v>
      </c>
      <c r="DD59" s="320">
        <f t="shared" si="20"/>
        <v>0.3805087719298243</v>
      </c>
      <c r="DE59" s="320">
        <f t="shared" si="21"/>
        <v>0.46928070175438602</v>
      </c>
      <c r="DF59" s="320">
        <f t="shared" si="22"/>
        <v>0.31025789473684223</v>
      </c>
      <c r="DG59" s="320">
        <f t="shared" si="23"/>
        <v>0.36064000000000002</v>
      </c>
      <c r="DH59" s="320">
        <f t="shared" si="24"/>
        <v>0.49647719298245646</v>
      </c>
      <c r="DI59" s="320">
        <f t="shared" si="25"/>
        <v>0.52407719298245647</v>
      </c>
      <c r="DJ59" s="320">
        <f t="shared" si="26"/>
        <v>0.73018947368421061</v>
      </c>
      <c r="DK59" s="320">
        <f t="shared" si="27"/>
        <v>0.44587719298245621</v>
      </c>
      <c r="DL59" s="320">
        <f t="shared" si="28"/>
        <v>0.5296052631578948</v>
      </c>
      <c r="DM59" s="320">
        <f t="shared" si="29"/>
        <v>0.62087087719298206</v>
      </c>
      <c r="DN59" s="320">
        <f t="shared" si="30"/>
        <v>0.7393894736842106</v>
      </c>
      <c r="DO59" s="320">
        <f t="shared" si="31"/>
        <v>0.92834456140350841</v>
      </c>
      <c r="DP59" s="320">
        <f t="shared" si="32"/>
        <v>1</v>
      </c>
      <c r="DQ59" s="320">
        <f t="shared" si="33"/>
        <v>0.32119298245614064</v>
      </c>
      <c r="DR59" s="320">
        <f t="shared" si="34"/>
        <v>0.37808771929824536</v>
      </c>
      <c r="DS59" s="320">
        <f t="shared" si="35"/>
        <v>0.43901754385964914</v>
      </c>
      <c r="DT59" s="320">
        <f t="shared" si="36"/>
        <v>0.58105263157894738</v>
      </c>
      <c r="DU59" s="320">
        <f t="shared" si="37"/>
        <v>0.65529824561403516</v>
      </c>
      <c r="DV59" s="320">
        <f t="shared" si="38"/>
        <v>0.40350877192982459</v>
      </c>
      <c r="DW59" s="320">
        <f t="shared" si="39"/>
        <v>0.4559649122807018</v>
      </c>
      <c r="DX59" s="320">
        <f t="shared" si="40"/>
        <v>0.63149122807017599</v>
      </c>
      <c r="DY59" s="320">
        <f t="shared" si="41"/>
        <v>0.71824561403508724</v>
      </c>
      <c r="DZ59" s="320">
        <f t="shared" si="42"/>
        <v>0.71017543859649135</v>
      </c>
      <c r="EA59" s="320">
        <f t="shared" si="43"/>
        <v>0.80701754385964919</v>
      </c>
      <c r="EB59" s="320">
        <f t="shared" si="44"/>
        <v>0.92322807017543873</v>
      </c>
      <c r="EC59" s="320">
        <f t="shared" si="45"/>
        <v>1</v>
      </c>
      <c r="ED59" s="320">
        <f t="shared" si="46"/>
        <v>1</v>
      </c>
      <c r="EE59" s="320">
        <f t="shared" si="47"/>
        <v>1</v>
      </c>
      <c r="EF59" s="320">
        <f t="shared" si="48"/>
        <v>0.91515789473684217</v>
      </c>
      <c r="EG59" s="320">
        <f t="shared" si="48"/>
        <v>1</v>
      </c>
      <c r="EH59" s="320">
        <f t="shared" si="48"/>
        <v>1</v>
      </c>
      <c r="EI59" s="320">
        <f t="shared" si="49"/>
        <v>1</v>
      </c>
      <c r="EJ59" s="320">
        <f t="shared" si="50"/>
        <v>1</v>
      </c>
      <c r="EK59" s="321">
        <f t="shared" si="51"/>
        <v>1</v>
      </c>
    </row>
    <row r="60" spans="1:141">
      <c r="A60" s="21">
        <v>15</v>
      </c>
      <c r="B60" s="21">
        <v>20</v>
      </c>
      <c r="C60" s="21">
        <f t="shared" si="97"/>
        <v>17.5</v>
      </c>
      <c r="D60" s="21">
        <f t="shared" si="1"/>
        <v>465</v>
      </c>
      <c r="E60" s="1">
        <f t="shared" ref="E60:E68" si="102">E59-($E$58-$E$69)/11</f>
        <v>0.8545454545454545</v>
      </c>
      <c r="F60" s="144">
        <f>cop_17</f>
        <v>2.5110000000000001</v>
      </c>
      <c r="G60" s="283">
        <f t="shared" si="52"/>
        <v>0.61594202898550721</v>
      </c>
      <c r="H60" s="23">
        <f t="shared" si="3"/>
        <v>27717.391304347824</v>
      </c>
      <c r="I60" s="119">
        <f t="shared" ref="I60:AY60" si="103">HLOOKUP(I$50,loadcorr,92,FALSE)</f>
        <v>6770</v>
      </c>
      <c r="J60" s="120">
        <f t="shared" si="103"/>
        <v>9076.6666666666661</v>
      </c>
      <c r="K60" s="120">
        <f t="shared" si="103"/>
        <v>12001.666666666666</v>
      </c>
      <c r="L60" s="120">
        <f t="shared" si="103"/>
        <v>13241.666666666666</v>
      </c>
      <c r="M60" s="120">
        <f t="shared" si="103"/>
        <v>6278.333333333333</v>
      </c>
      <c r="N60" s="120">
        <f t="shared" si="103"/>
        <v>8388.3333333333339</v>
      </c>
      <c r="O60" s="120">
        <f t="shared" si="103"/>
        <v>12100</v>
      </c>
      <c r="P60" s="120">
        <f t="shared" si="103"/>
        <v>6671.666666666667</v>
      </c>
      <c r="Q60" s="120">
        <f t="shared" si="103"/>
        <v>8893.3333333333339</v>
      </c>
      <c r="R60" s="120">
        <f t="shared" si="103"/>
        <v>11411.666666666666</v>
      </c>
      <c r="S60" s="120">
        <f t="shared" si="103"/>
        <v>13536.666666666666</v>
      </c>
      <c r="T60" s="120">
        <f t="shared" si="103"/>
        <v>16193.333333333334</v>
      </c>
      <c r="U60" s="120">
        <f t="shared" si="103"/>
        <v>10855</v>
      </c>
      <c r="V60" s="120">
        <f t="shared" si="103"/>
        <v>12101.666666666666</v>
      </c>
      <c r="W60" s="120">
        <f t="shared" si="103"/>
        <v>16475</v>
      </c>
      <c r="X60" s="120">
        <f t="shared" si="103"/>
        <v>18313.333333333332</v>
      </c>
      <c r="Y60" s="120">
        <f t="shared" si="103"/>
        <v>24805</v>
      </c>
      <c r="Z60" s="120">
        <f t="shared" si="103"/>
        <v>15608.333333333334</v>
      </c>
      <c r="AA60" s="120">
        <f t="shared" si="103"/>
        <v>18264.166666666668</v>
      </c>
      <c r="AB60" s="120">
        <f t="shared" si="103"/>
        <v>21456.673333333332</v>
      </c>
      <c r="AC60" s="120">
        <f t="shared" si="103"/>
        <v>25592.400000000001</v>
      </c>
      <c r="AD60" s="120">
        <f t="shared" si="103"/>
        <v>32132.679999999997</v>
      </c>
      <c r="AE60" s="120">
        <f t="shared" si="103"/>
        <v>32813.1</v>
      </c>
      <c r="AF60" s="120">
        <f t="shared" si="103"/>
        <v>10755</v>
      </c>
      <c r="AG60" s="120">
        <f t="shared" si="103"/>
        <v>12296.666666666666</v>
      </c>
      <c r="AH60" s="120">
        <f t="shared" si="103"/>
        <v>13723.333333333334</v>
      </c>
      <c r="AI60" s="120">
        <f t="shared" si="103"/>
        <v>18100</v>
      </c>
      <c r="AJ60" s="120">
        <f t="shared" si="103"/>
        <v>20461.666666666668</v>
      </c>
      <c r="AK60" s="120">
        <f t="shared" si="103"/>
        <v>13493.333333333334</v>
      </c>
      <c r="AL60" s="120">
        <f t="shared" si="103"/>
        <v>14933.333333333334</v>
      </c>
      <c r="AM60" s="120">
        <f t="shared" si="103"/>
        <v>20575</v>
      </c>
      <c r="AN60" s="120">
        <f t="shared" si="103"/>
        <v>23100</v>
      </c>
      <c r="AO60" s="120">
        <f t="shared" si="103"/>
        <v>22000</v>
      </c>
      <c r="AP60" s="120">
        <f t="shared" si="103"/>
        <v>25000</v>
      </c>
      <c r="AQ60" s="120">
        <f t="shared" si="103"/>
        <v>28600</v>
      </c>
      <c r="AR60" s="120">
        <f t="shared" si="103"/>
        <v>45000</v>
      </c>
      <c r="AS60" s="120">
        <f t="shared" si="103"/>
        <v>48000</v>
      </c>
      <c r="AT60" s="120">
        <f t="shared" si="103"/>
        <v>54000</v>
      </c>
      <c r="AU60" s="120">
        <f t="shared" si="103"/>
        <v>30469.333333333332</v>
      </c>
      <c r="AV60" s="120">
        <f t="shared" si="103"/>
        <v>39098.666666666664</v>
      </c>
      <c r="AW60" s="120">
        <f t="shared" si="103"/>
        <v>49126</v>
      </c>
      <c r="AX60" s="120">
        <f t="shared" si="103"/>
        <v>147200</v>
      </c>
      <c r="AY60" s="304">
        <f t="shared" si="103"/>
        <v>43183.333333333336</v>
      </c>
      <c r="AZ60" s="119">
        <f t="shared" si="55"/>
        <v>2690151.8181818179</v>
      </c>
      <c r="BA60" s="120">
        <f t="shared" si="56"/>
        <v>3606737.2727272725</v>
      </c>
      <c r="BB60" s="120">
        <f t="shared" si="57"/>
        <v>4769025.9090909092</v>
      </c>
      <c r="BC60" s="120">
        <f t="shared" si="58"/>
        <v>5261756.8181818174</v>
      </c>
      <c r="BD60" s="120">
        <f t="shared" si="59"/>
        <v>2494781.3636363633</v>
      </c>
      <c r="BE60" s="120">
        <f t="shared" si="60"/>
        <v>3333218.6363636367</v>
      </c>
      <c r="BF60" s="120">
        <f t="shared" si="61"/>
        <v>4808100</v>
      </c>
      <c r="BG60" s="120">
        <f t="shared" si="62"/>
        <v>2651077.7272727271</v>
      </c>
      <c r="BH60" s="120">
        <f t="shared" si="63"/>
        <v>3533887.2727272729</v>
      </c>
      <c r="BI60" s="120">
        <f t="shared" si="64"/>
        <v>4534581.3636363633</v>
      </c>
      <c r="BJ60" s="120">
        <f t="shared" si="65"/>
        <v>5378979.0909090908</v>
      </c>
      <c r="BK60" s="120">
        <f t="shared" si="66"/>
        <v>6434641.8181818174</v>
      </c>
      <c r="BL60" s="120">
        <f t="shared" si="67"/>
        <v>4313382.2727272725</v>
      </c>
      <c r="BM60" s="120">
        <f t="shared" si="68"/>
        <v>4808762.2727272725</v>
      </c>
      <c r="BN60" s="120">
        <f t="shared" si="69"/>
        <v>6546565.9090909092</v>
      </c>
      <c r="BO60" s="120">
        <f t="shared" si="70"/>
        <v>7277052.7272727266</v>
      </c>
      <c r="BP60" s="120">
        <f t="shared" si="71"/>
        <v>9856605</v>
      </c>
      <c r="BQ60" s="120">
        <f t="shared" si="72"/>
        <v>6202184.0909090908</v>
      </c>
      <c r="BR60" s="120">
        <f t="shared" si="73"/>
        <v>7257515.6818181816</v>
      </c>
      <c r="BS60" s="120">
        <f t="shared" si="74"/>
        <v>8526101.7399999984</v>
      </c>
      <c r="BT60" s="120">
        <f t="shared" si="75"/>
        <v>10169489.127272727</v>
      </c>
      <c r="BU60" s="120">
        <f t="shared" si="76"/>
        <v>11013883.399209484</v>
      </c>
      <c r="BV60" s="120">
        <f t="shared" si="77"/>
        <v>11013883.399209484</v>
      </c>
      <c r="BW60" s="120">
        <f t="shared" si="78"/>
        <v>4273645.9090909092</v>
      </c>
      <c r="BX60" s="120">
        <f t="shared" si="79"/>
        <v>4886248.1818181816</v>
      </c>
      <c r="BY60" s="120">
        <f t="shared" si="80"/>
        <v>5453153.6363636358</v>
      </c>
      <c r="BZ60" s="120">
        <f t="shared" si="81"/>
        <v>7192281.8181818174</v>
      </c>
      <c r="CA60" s="120">
        <f t="shared" si="82"/>
        <v>8130722.2727272725</v>
      </c>
      <c r="CB60" s="120">
        <f t="shared" si="83"/>
        <v>5361760</v>
      </c>
      <c r="CC60" s="120">
        <f t="shared" si="84"/>
        <v>5933963.6363636358</v>
      </c>
      <c r="CD60" s="120">
        <f t="shared" si="85"/>
        <v>8175756.8181818174</v>
      </c>
      <c r="CE60" s="120">
        <f t="shared" si="86"/>
        <v>9179100</v>
      </c>
      <c r="CF60" s="120">
        <f t="shared" si="87"/>
        <v>8742000</v>
      </c>
      <c r="CG60" s="120">
        <f t="shared" si="88"/>
        <v>9934090.9090909082</v>
      </c>
      <c r="CH60" s="120">
        <f t="shared" si="89"/>
        <v>11013883.399209484</v>
      </c>
      <c r="CI60" s="120">
        <f t="shared" si="90"/>
        <v>11013883.399209484</v>
      </c>
      <c r="CJ60" s="120">
        <f t="shared" si="91"/>
        <v>11013883.399209484</v>
      </c>
      <c r="CK60" s="120">
        <f t="shared" si="92"/>
        <v>11013883.399209484</v>
      </c>
      <c r="CL60" s="120">
        <f t="shared" si="6"/>
        <v>11013883.399209484</v>
      </c>
      <c r="CM60" s="120">
        <f t="shared" si="6"/>
        <v>11013883.399209484</v>
      </c>
      <c r="CN60" s="120">
        <f t="shared" si="6"/>
        <v>11013883.399209484</v>
      </c>
      <c r="CO60" s="120">
        <f t="shared" si="7"/>
        <v>11013883.399209484</v>
      </c>
      <c r="CP60" s="120">
        <f t="shared" si="8"/>
        <v>11013883.399209484</v>
      </c>
      <c r="CQ60" s="120">
        <f t="shared" si="93"/>
        <v>11013883.399209484</v>
      </c>
      <c r="CR60" s="120">
        <f>SUM(CQ60:CQ80)</f>
        <v>47484308.30039525</v>
      </c>
      <c r="CS60" s="321">
        <f t="shared" si="9"/>
        <v>0.82674608254020687</v>
      </c>
      <c r="CT60" s="319">
        <f t="shared" si="10"/>
        <v>0.24425098039215687</v>
      </c>
      <c r="CU60" s="320">
        <f t="shared" si="11"/>
        <v>0.32747189542483662</v>
      </c>
      <c r="CV60" s="320">
        <f t="shared" si="12"/>
        <v>0.43300130718954255</v>
      </c>
      <c r="CW60" s="320">
        <f t="shared" si="13"/>
        <v>0.47773856209150328</v>
      </c>
      <c r="CX60" s="320">
        <f t="shared" si="14"/>
        <v>0.22651241830065361</v>
      </c>
      <c r="CY60" s="320">
        <f t="shared" si="15"/>
        <v>0.30263790849673211</v>
      </c>
      <c r="CZ60" s="320">
        <f t="shared" si="16"/>
        <v>0.4365490196078432</v>
      </c>
      <c r="DA60" s="320">
        <f t="shared" si="17"/>
        <v>0.24070326797385622</v>
      </c>
      <c r="DB60" s="320">
        <f t="shared" si="18"/>
        <v>0.32085751633986936</v>
      </c>
      <c r="DC60" s="320">
        <f t="shared" si="19"/>
        <v>0.41171503267973858</v>
      </c>
      <c r="DD60" s="320">
        <f t="shared" si="20"/>
        <v>0.4883816993464053</v>
      </c>
      <c r="DE60" s="320">
        <f t="shared" si="21"/>
        <v>0.58423006535947719</v>
      </c>
      <c r="DF60" s="320">
        <f t="shared" si="22"/>
        <v>0.39163137254901964</v>
      </c>
      <c r="DG60" s="320">
        <f t="shared" si="23"/>
        <v>0.43660915032679742</v>
      </c>
      <c r="DH60" s="320">
        <f t="shared" si="24"/>
        <v>0.59439215686274516</v>
      </c>
      <c r="DI60" s="320">
        <f t="shared" si="25"/>
        <v>0.66071633986928113</v>
      </c>
      <c r="DJ60" s="320">
        <f t="shared" si="26"/>
        <v>0.89492549019607859</v>
      </c>
      <c r="DK60" s="320">
        <f t="shared" si="27"/>
        <v>0.56312418300653599</v>
      </c>
      <c r="DL60" s="320">
        <f t="shared" si="28"/>
        <v>0.65894248366013075</v>
      </c>
      <c r="DM60" s="320">
        <f t="shared" si="29"/>
        <v>0.7741231163398693</v>
      </c>
      <c r="DN60" s="320">
        <f t="shared" si="30"/>
        <v>0.92333364705882359</v>
      </c>
      <c r="DO60" s="320">
        <f t="shared" si="31"/>
        <v>1</v>
      </c>
      <c r="DP60" s="320">
        <f t="shared" si="32"/>
        <v>1</v>
      </c>
      <c r="DQ60" s="320">
        <f t="shared" si="33"/>
        <v>0.38802352941176477</v>
      </c>
      <c r="DR60" s="320">
        <f t="shared" si="34"/>
        <v>0.44364444444444451</v>
      </c>
      <c r="DS60" s="320">
        <f t="shared" si="35"/>
        <v>0.49511633986928105</v>
      </c>
      <c r="DT60" s="320">
        <f t="shared" si="36"/>
        <v>0.65301960784313728</v>
      </c>
      <c r="DU60" s="320">
        <f t="shared" si="37"/>
        <v>0.73822483660130733</v>
      </c>
      <c r="DV60" s="320">
        <f t="shared" si="38"/>
        <v>0.48681830065359483</v>
      </c>
      <c r="DW60" s="320">
        <f t="shared" si="39"/>
        <v>0.53877124183006542</v>
      </c>
      <c r="DX60" s="320">
        <f t="shared" si="40"/>
        <v>0.74231372549019614</v>
      </c>
      <c r="DY60" s="320">
        <f t="shared" si="41"/>
        <v>0.83341176470588252</v>
      </c>
      <c r="DZ60" s="320">
        <f t="shared" si="42"/>
        <v>0.79372549019607852</v>
      </c>
      <c r="EA60" s="320">
        <f t="shared" si="43"/>
        <v>0.90196078431372551</v>
      </c>
      <c r="EB60" s="320">
        <f t="shared" si="44"/>
        <v>1</v>
      </c>
      <c r="EC60" s="320">
        <f t="shared" si="45"/>
        <v>1</v>
      </c>
      <c r="ED60" s="320">
        <f t="shared" si="46"/>
        <v>1</v>
      </c>
      <c r="EE60" s="320">
        <f t="shared" si="47"/>
        <v>1</v>
      </c>
      <c r="EF60" s="320">
        <f t="shared" si="48"/>
        <v>1</v>
      </c>
      <c r="EG60" s="320">
        <f t="shared" si="48"/>
        <v>1</v>
      </c>
      <c r="EH60" s="320">
        <f t="shared" si="48"/>
        <v>1</v>
      </c>
      <c r="EI60" s="320">
        <f t="shared" si="49"/>
        <v>1</v>
      </c>
      <c r="EJ60" s="320">
        <f t="shared" si="50"/>
        <v>1</v>
      </c>
      <c r="EK60" s="321">
        <f t="shared" si="51"/>
        <v>1</v>
      </c>
    </row>
    <row r="61" spans="1:141">
      <c r="A61" s="21">
        <v>20</v>
      </c>
      <c r="B61" s="21">
        <v>25</v>
      </c>
      <c r="C61" s="21">
        <f t="shared" si="97"/>
        <v>22.5</v>
      </c>
      <c r="D61" s="21">
        <f t="shared" si="1"/>
        <v>404</v>
      </c>
      <c r="E61" s="1">
        <f t="shared" si="102"/>
        <v>0.78181818181818175</v>
      </c>
      <c r="F61" s="144">
        <f>($F$66-$F$60)/6+F60</f>
        <v>2.7175000000000002</v>
      </c>
      <c r="G61" s="283">
        <f t="shared" si="52"/>
        <v>0.54347826086956519</v>
      </c>
      <c r="H61" s="23">
        <f t="shared" si="3"/>
        <v>24456.521739130432</v>
      </c>
      <c r="I61" s="119">
        <f t="shared" ref="I61:AY61" si="104">HLOOKUP(I$50,loadcorr,102,FALSE)</f>
        <v>7470</v>
      </c>
      <c r="J61" s="120">
        <f t="shared" si="104"/>
        <v>9843.3333333333267</v>
      </c>
      <c r="K61" s="120">
        <f t="shared" si="104"/>
        <v>13018.333333333327</v>
      </c>
      <c r="L61" s="120">
        <f t="shared" si="104"/>
        <v>14658.333333333327</v>
      </c>
      <c r="M61" s="120">
        <f t="shared" si="104"/>
        <v>7061.6666666666633</v>
      </c>
      <c r="N61" s="120">
        <f t="shared" si="104"/>
        <v>9271.6666666666733</v>
      </c>
      <c r="O61" s="120">
        <f t="shared" si="104"/>
        <v>13100</v>
      </c>
      <c r="P61" s="120">
        <f t="shared" si="104"/>
        <v>7388.3333333333367</v>
      </c>
      <c r="Q61" s="120">
        <f t="shared" si="104"/>
        <v>9826.6666666666733</v>
      </c>
      <c r="R61" s="120">
        <f t="shared" si="104"/>
        <v>12528.333333333327</v>
      </c>
      <c r="S61" s="120">
        <f t="shared" si="104"/>
        <v>14903.333333333327</v>
      </c>
      <c r="T61" s="120">
        <f t="shared" si="104"/>
        <v>18126.666666666657</v>
      </c>
      <c r="U61" s="120">
        <f t="shared" si="104"/>
        <v>11405</v>
      </c>
      <c r="V61" s="120">
        <f t="shared" si="104"/>
        <v>13118.333333333327</v>
      </c>
      <c r="W61" s="120">
        <f t="shared" si="104"/>
        <v>17225</v>
      </c>
      <c r="X61" s="120">
        <f t="shared" si="104"/>
        <v>19446.666666666653</v>
      </c>
      <c r="Y61" s="120">
        <f t="shared" si="104"/>
        <v>26855</v>
      </c>
      <c r="Z61" s="120">
        <f t="shared" si="104"/>
        <v>16691.666666666668</v>
      </c>
      <c r="AA61" s="120">
        <f t="shared" si="104"/>
        <v>19405.833333333347</v>
      </c>
      <c r="AB61" s="120">
        <f t="shared" si="104"/>
        <v>22667.406666666669</v>
      </c>
      <c r="AC61" s="120">
        <f t="shared" si="104"/>
        <v>27356.400000000016</v>
      </c>
      <c r="AD61" s="120">
        <f t="shared" si="104"/>
        <v>34347.480000000018</v>
      </c>
      <c r="AE61" s="120">
        <f t="shared" si="104"/>
        <v>36404.099999999984</v>
      </c>
      <c r="AF61" s="120">
        <f t="shared" si="104"/>
        <v>11305</v>
      </c>
      <c r="AG61" s="120">
        <f t="shared" si="104"/>
        <v>13263.333333333327</v>
      </c>
      <c r="AH61" s="120">
        <f t="shared" si="104"/>
        <v>14956.666666666673</v>
      </c>
      <c r="AI61" s="120">
        <f t="shared" si="104"/>
        <v>19100</v>
      </c>
      <c r="AJ61" s="120">
        <f t="shared" si="104"/>
        <v>22078.333333333347</v>
      </c>
      <c r="AK61" s="120">
        <f t="shared" si="104"/>
        <v>14426.666666666673</v>
      </c>
      <c r="AL61" s="120">
        <f t="shared" si="104"/>
        <v>16266.666666666673</v>
      </c>
      <c r="AM61" s="120">
        <f t="shared" si="104"/>
        <v>21325</v>
      </c>
      <c r="AN61" s="120">
        <f t="shared" si="104"/>
        <v>24100</v>
      </c>
      <c r="AO61" s="120">
        <f t="shared" si="104"/>
        <v>22000</v>
      </c>
      <c r="AP61" s="120">
        <f t="shared" si="104"/>
        <v>25000</v>
      </c>
      <c r="AQ61" s="120">
        <f t="shared" si="104"/>
        <v>28600</v>
      </c>
      <c r="AR61" s="120">
        <f t="shared" si="104"/>
        <v>45000</v>
      </c>
      <c r="AS61" s="120">
        <f t="shared" si="104"/>
        <v>48000</v>
      </c>
      <c r="AT61" s="120">
        <f t="shared" si="104"/>
        <v>54000</v>
      </c>
      <c r="AU61" s="120">
        <f t="shared" si="104"/>
        <v>32762.666666666653</v>
      </c>
      <c r="AV61" s="120">
        <f t="shared" si="104"/>
        <v>41285.333333333307</v>
      </c>
      <c r="AW61" s="120">
        <f t="shared" si="104"/>
        <v>51986</v>
      </c>
      <c r="AX61" s="120">
        <f t="shared" si="104"/>
        <v>147200</v>
      </c>
      <c r="AY61" s="304">
        <f t="shared" si="104"/>
        <v>45016.666666666693</v>
      </c>
      <c r="AZ61" s="119">
        <f t="shared" si="55"/>
        <v>2359433.4545454541</v>
      </c>
      <c r="BA61" s="120">
        <f t="shared" si="56"/>
        <v>3109061.5757575734</v>
      </c>
      <c r="BB61" s="120">
        <f t="shared" si="57"/>
        <v>4111899.7575757555</v>
      </c>
      <c r="BC61" s="120">
        <f t="shared" si="58"/>
        <v>4629901.2121212101</v>
      </c>
      <c r="BD61" s="120">
        <f t="shared" si="59"/>
        <v>2230459.5151515137</v>
      </c>
      <c r="BE61" s="120">
        <f t="shared" si="60"/>
        <v>2928498.0606060624</v>
      </c>
      <c r="BF61" s="120">
        <f t="shared" si="61"/>
        <v>4137694.5454545449</v>
      </c>
      <c r="BG61" s="120">
        <f t="shared" si="62"/>
        <v>2333638.6666666674</v>
      </c>
      <c r="BH61" s="120">
        <f t="shared" si="63"/>
        <v>3103797.3333333349</v>
      </c>
      <c r="BI61" s="120">
        <f t="shared" si="64"/>
        <v>3957131.0303030279</v>
      </c>
      <c r="BJ61" s="120">
        <f t="shared" si="65"/>
        <v>4707285.5757575734</v>
      </c>
      <c r="BK61" s="120">
        <f t="shared" si="66"/>
        <v>5725390.0606060568</v>
      </c>
      <c r="BL61" s="120">
        <f t="shared" si="67"/>
        <v>3602321.0909090904</v>
      </c>
      <c r="BM61" s="120">
        <f t="shared" si="68"/>
        <v>4143485.2121212096</v>
      </c>
      <c r="BN61" s="120">
        <f t="shared" si="69"/>
        <v>5440594.5454545449</v>
      </c>
      <c r="BO61" s="120">
        <f t="shared" si="70"/>
        <v>6142318.0606060559</v>
      </c>
      <c r="BP61" s="120">
        <f t="shared" si="71"/>
        <v>7724703.557312252</v>
      </c>
      <c r="BQ61" s="120">
        <f t="shared" si="72"/>
        <v>5272138.7878787881</v>
      </c>
      <c r="BR61" s="120">
        <f t="shared" si="73"/>
        <v>6129420.6666666698</v>
      </c>
      <c r="BS61" s="120">
        <f t="shared" si="74"/>
        <v>7159603.4293333339</v>
      </c>
      <c r="BT61" s="120">
        <f t="shared" si="75"/>
        <v>7724703.557312252</v>
      </c>
      <c r="BU61" s="120">
        <f t="shared" si="76"/>
        <v>7724703.557312252</v>
      </c>
      <c r="BV61" s="120">
        <f t="shared" si="77"/>
        <v>7724703.557312252</v>
      </c>
      <c r="BW61" s="120">
        <f t="shared" si="78"/>
        <v>3570735.6363636362</v>
      </c>
      <c r="BX61" s="120">
        <f t="shared" si="79"/>
        <v>4189284.1212121188</v>
      </c>
      <c r="BY61" s="120">
        <f t="shared" si="80"/>
        <v>4724131.1515151532</v>
      </c>
      <c r="BZ61" s="120">
        <f t="shared" si="81"/>
        <v>6032821.8181818174</v>
      </c>
      <c r="CA61" s="120">
        <f t="shared" si="82"/>
        <v>6973541.9393939422</v>
      </c>
      <c r="CB61" s="120">
        <f t="shared" si="83"/>
        <v>4556728.2424242441</v>
      </c>
      <c r="CC61" s="120">
        <f t="shared" si="84"/>
        <v>5137900.6060606074</v>
      </c>
      <c r="CD61" s="120">
        <f t="shared" si="85"/>
        <v>6735598.1818181816</v>
      </c>
      <c r="CE61" s="120">
        <f t="shared" si="86"/>
        <v>7612094.5454545449</v>
      </c>
      <c r="CF61" s="120">
        <f t="shared" si="87"/>
        <v>6948799.9999999991</v>
      </c>
      <c r="CG61" s="120">
        <f t="shared" si="88"/>
        <v>7724703.557312252</v>
      </c>
      <c r="CH61" s="120">
        <f t="shared" si="89"/>
        <v>7724703.557312252</v>
      </c>
      <c r="CI61" s="120">
        <f t="shared" si="90"/>
        <v>7724703.557312252</v>
      </c>
      <c r="CJ61" s="120">
        <f t="shared" si="91"/>
        <v>7724703.557312252</v>
      </c>
      <c r="CK61" s="120">
        <f t="shared" si="92"/>
        <v>7724703.557312252</v>
      </c>
      <c r="CL61" s="120">
        <f t="shared" si="6"/>
        <v>7724703.557312252</v>
      </c>
      <c r="CM61" s="120">
        <f t="shared" si="6"/>
        <v>7724703.557312252</v>
      </c>
      <c r="CN61" s="120">
        <f t="shared" si="6"/>
        <v>7724703.557312252</v>
      </c>
      <c r="CO61" s="120">
        <f t="shared" si="7"/>
        <v>7724703.557312252</v>
      </c>
      <c r="CP61" s="120">
        <f t="shared" si="8"/>
        <v>7724703.557312252</v>
      </c>
      <c r="CQ61" s="120">
        <f t="shared" si="93"/>
        <v>7724703.557312252</v>
      </c>
      <c r="CR61" s="120">
        <f>SUM(CQ61:CQ80)</f>
        <v>36470424.901185766</v>
      </c>
      <c r="CS61" s="321">
        <f t="shared" si="9"/>
        <v>0.63498410306170905</v>
      </c>
      <c r="CT61" s="319">
        <f t="shared" si="10"/>
        <v>0.30543999999999999</v>
      </c>
      <c r="CU61" s="320">
        <f t="shared" si="11"/>
        <v>0.40248296296296271</v>
      </c>
      <c r="CV61" s="320">
        <f t="shared" si="12"/>
        <v>0.53230518518518499</v>
      </c>
      <c r="CW61" s="320">
        <f t="shared" si="13"/>
        <v>0.59936296296296276</v>
      </c>
      <c r="CX61" s="320">
        <f t="shared" si="14"/>
        <v>0.28874370370370356</v>
      </c>
      <c r="CY61" s="320">
        <f t="shared" si="15"/>
        <v>0.37910814814814842</v>
      </c>
      <c r="CZ61" s="320">
        <f t="shared" si="16"/>
        <v>0.53564444444444448</v>
      </c>
      <c r="DA61" s="320">
        <f t="shared" si="17"/>
        <v>0.30210074074074089</v>
      </c>
      <c r="DB61" s="320">
        <f t="shared" si="18"/>
        <v>0.40180148148148176</v>
      </c>
      <c r="DC61" s="320">
        <f t="shared" si="19"/>
        <v>0.51226962962962941</v>
      </c>
      <c r="DD61" s="320">
        <f t="shared" si="20"/>
        <v>0.60938074074074056</v>
      </c>
      <c r="DE61" s="320">
        <f t="shared" si="21"/>
        <v>0.74117925925925887</v>
      </c>
      <c r="DF61" s="320">
        <f t="shared" si="22"/>
        <v>0.46633777777777774</v>
      </c>
      <c r="DG61" s="320">
        <f t="shared" si="23"/>
        <v>0.5363940740740738</v>
      </c>
      <c r="DH61" s="320">
        <f t="shared" si="24"/>
        <v>0.70431111111111111</v>
      </c>
      <c r="DI61" s="320">
        <f t="shared" si="25"/>
        <v>0.79515259259259208</v>
      </c>
      <c r="DJ61" s="320">
        <f t="shared" si="26"/>
        <v>1</v>
      </c>
      <c r="DK61" s="320">
        <f t="shared" si="27"/>
        <v>0.68250370370370383</v>
      </c>
      <c r="DL61" s="320">
        <f t="shared" si="28"/>
        <v>0.7934829629629635</v>
      </c>
      <c r="DM61" s="320">
        <f t="shared" si="29"/>
        <v>0.92684507259259274</v>
      </c>
      <c r="DN61" s="320">
        <f t="shared" si="30"/>
        <v>1</v>
      </c>
      <c r="DO61" s="320">
        <f t="shared" si="31"/>
        <v>1</v>
      </c>
      <c r="DP61" s="320">
        <f t="shared" si="32"/>
        <v>1</v>
      </c>
      <c r="DQ61" s="320">
        <f t="shared" si="33"/>
        <v>0.46224888888888893</v>
      </c>
      <c r="DR61" s="320">
        <f t="shared" si="34"/>
        <v>0.54232296296296267</v>
      </c>
      <c r="DS61" s="320">
        <f t="shared" si="35"/>
        <v>0.61156148148148182</v>
      </c>
      <c r="DT61" s="320">
        <f t="shared" si="36"/>
        <v>0.78097777777777777</v>
      </c>
      <c r="DU61" s="320">
        <f t="shared" si="37"/>
        <v>0.90275851851851896</v>
      </c>
      <c r="DV61" s="320">
        <f t="shared" si="38"/>
        <v>0.58989037037037062</v>
      </c>
      <c r="DW61" s="320">
        <f t="shared" si="39"/>
        <v>0.66512592592592623</v>
      </c>
      <c r="DX61" s="320">
        <f t="shared" si="40"/>
        <v>0.87195555555555559</v>
      </c>
      <c r="DY61" s="320">
        <f t="shared" si="41"/>
        <v>0.98542222222222231</v>
      </c>
      <c r="DZ61" s="320">
        <f t="shared" si="42"/>
        <v>0.89955555555555555</v>
      </c>
      <c r="EA61" s="320">
        <f t="shared" si="43"/>
        <v>1</v>
      </c>
      <c r="EB61" s="320">
        <f t="shared" si="44"/>
        <v>1</v>
      </c>
      <c r="EC61" s="320">
        <f t="shared" si="45"/>
        <v>1</v>
      </c>
      <c r="ED61" s="320">
        <f t="shared" si="46"/>
        <v>1</v>
      </c>
      <c r="EE61" s="320">
        <f t="shared" si="47"/>
        <v>1</v>
      </c>
      <c r="EF61" s="320">
        <f t="shared" si="48"/>
        <v>1</v>
      </c>
      <c r="EG61" s="320">
        <f t="shared" si="48"/>
        <v>1</v>
      </c>
      <c r="EH61" s="320">
        <f t="shared" si="48"/>
        <v>1</v>
      </c>
      <c r="EI61" s="320">
        <f t="shared" si="49"/>
        <v>1</v>
      </c>
      <c r="EJ61" s="320">
        <f t="shared" si="50"/>
        <v>1</v>
      </c>
      <c r="EK61" s="321">
        <f t="shared" si="51"/>
        <v>1</v>
      </c>
    </row>
    <row r="62" spans="1:141">
      <c r="A62" s="21">
        <v>25</v>
      </c>
      <c r="B62" s="21">
        <v>30</v>
      </c>
      <c r="C62" s="21">
        <f t="shared" si="97"/>
        <v>27.5</v>
      </c>
      <c r="D62" s="21">
        <f t="shared" si="1"/>
        <v>374</v>
      </c>
      <c r="E62" s="1">
        <f t="shared" si="102"/>
        <v>0.70909090909090899</v>
      </c>
      <c r="F62" s="144">
        <f t="shared" ref="F62:F65" si="105">($F$66-$F$60)/6+F61</f>
        <v>2.9240000000000004</v>
      </c>
      <c r="G62" s="283">
        <f t="shared" si="52"/>
        <v>0.47101449275362317</v>
      </c>
      <c r="H62" s="23">
        <f>G62*heat_load</f>
        <v>21195.652173913044</v>
      </c>
      <c r="I62" s="119">
        <f t="shared" ref="I62:AY62" si="106">HLOOKUP(I$50,loadcorr,112,FALSE)</f>
        <v>8170</v>
      </c>
      <c r="J62" s="120">
        <f t="shared" si="106"/>
        <v>10609.999999999987</v>
      </c>
      <c r="K62" s="120">
        <f t="shared" si="106"/>
        <v>14034.999999999987</v>
      </c>
      <c r="L62" s="120">
        <f t="shared" si="106"/>
        <v>16074.999999999987</v>
      </c>
      <c r="M62" s="120">
        <f t="shared" si="106"/>
        <v>7844.9999999999936</v>
      </c>
      <c r="N62" s="120">
        <f t="shared" si="106"/>
        <v>10155.000000000013</v>
      </c>
      <c r="O62" s="120">
        <f t="shared" si="106"/>
        <v>14100</v>
      </c>
      <c r="P62" s="120">
        <f t="shared" si="106"/>
        <v>8105.0000000000064</v>
      </c>
      <c r="Q62" s="120">
        <f t="shared" si="106"/>
        <v>10760.000000000013</v>
      </c>
      <c r="R62" s="120">
        <f t="shared" si="106"/>
        <v>13644.999999999987</v>
      </c>
      <c r="S62" s="120">
        <f t="shared" si="106"/>
        <v>16269.999999999987</v>
      </c>
      <c r="T62" s="120">
        <f t="shared" si="106"/>
        <v>20059.999999999978</v>
      </c>
      <c r="U62" s="120">
        <f t="shared" si="106"/>
        <v>11955</v>
      </c>
      <c r="V62" s="120">
        <f t="shared" si="106"/>
        <v>14134.999999999987</v>
      </c>
      <c r="W62" s="120">
        <f t="shared" si="106"/>
        <v>17975</v>
      </c>
      <c r="X62" s="120">
        <f t="shared" si="106"/>
        <v>20579.999999999975</v>
      </c>
      <c r="Y62" s="120">
        <f t="shared" si="106"/>
        <v>28905</v>
      </c>
      <c r="Z62" s="120">
        <f t="shared" si="106"/>
        <v>17774.999999999989</v>
      </c>
      <c r="AA62" s="120">
        <f t="shared" si="106"/>
        <v>20547.500000000025</v>
      </c>
      <c r="AB62" s="120">
        <f t="shared" si="106"/>
        <v>23878.140000000007</v>
      </c>
      <c r="AC62" s="120">
        <f t="shared" si="106"/>
        <v>29120.400000000031</v>
      </c>
      <c r="AD62" s="120">
        <f t="shared" si="106"/>
        <v>36562.28000000005</v>
      </c>
      <c r="AE62" s="120">
        <f t="shared" si="106"/>
        <v>39995.099999999969</v>
      </c>
      <c r="AF62" s="120">
        <f t="shared" si="106"/>
        <v>11855</v>
      </c>
      <c r="AG62" s="120">
        <f t="shared" si="106"/>
        <v>14229.999999999987</v>
      </c>
      <c r="AH62" s="120">
        <f t="shared" si="106"/>
        <v>16190.000000000013</v>
      </c>
      <c r="AI62" s="120">
        <f t="shared" si="106"/>
        <v>20100</v>
      </c>
      <c r="AJ62" s="120">
        <f t="shared" si="106"/>
        <v>23695.000000000025</v>
      </c>
      <c r="AK62" s="120">
        <f t="shared" si="106"/>
        <v>15360.000000000013</v>
      </c>
      <c r="AL62" s="120">
        <f t="shared" si="106"/>
        <v>17599.999999999996</v>
      </c>
      <c r="AM62" s="120">
        <f t="shared" si="106"/>
        <v>22075</v>
      </c>
      <c r="AN62" s="120">
        <f t="shared" si="106"/>
        <v>25100</v>
      </c>
      <c r="AO62" s="120">
        <f t="shared" si="106"/>
        <v>22000</v>
      </c>
      <c r="AP62" s="120">
        <f t="shared" si="106"/>
        <v>25000</v>
      </c>
      <c r="AQ62" s="120">
        <f t="shared" si="106"/>
        <v>28600</v>
      </c>
      <c r="AR62" s="120">
        <f t="shared" si="106"/>
        <v>45000</v>
      </c>
      <c r="AS62" s="120">
        <f t="shared" si="106"/>
        <v>48000</v>
      </c>
      <c r="AT62" s="120">
        <f t="shared" si="106"/>
        <v>54000</v>
      </c>
      <c r="AU62" s="120">
        <f t="shared" si="106"/>
        <v>35056.000000000007</v>
      </c>
      <c r="AV62" s="120">
        <f t="shared" si="106"/>
        <v>43471.999999999949</v>
      </c>
      <c r="AW62" s="120">
        <f t="shared" si="106"/>
        <v>54846</v>
      </c>
      <c r="AX62" s="120">
        <f t="shared" si="106"/>
        <v>147200</v>
      </c>
      <c r="AY62" s="304">
        <f t="shared" si="106"/>
        <v>46850.000000000051</v>
      </c>
      <c r="AZ62" s="119">
        <f t="shared" si="55"/>
        <v>2166683.9999999995</v>
      </c>
      <c r="BA62" s="120">
        <f t="shared" si="56"/>
        <v>2813771.9999999963</v>
      </c>
      <c r="BB62" s="120">
        <f t="shared" si="57"/>
        <v>3722081.9999999963</v>
      </c>
      <c r="BC62" s="120">
        <f t="shared" si="58"/>
        <v>4263089.9999999963</v>
      </c>
      <c r="BD62" s="120">
        <f t="shared" si="59"/>
        <v>2080493.9999999981</v>
      </c>
      <c r="BE62" s="120">
        <f t="shared" si="60"/>
        <v>2693106.0000000028</v>
      </c>
      <c r="BF62" s="120">
        <f t="shared" si="61"/>
        <v>3739319.9999999995</v>
      </c>
      <c r="BG62" s="120">
        <f t="shared" si="62"/>
        <v>2149446.0000000014</v>
      </c>
      <c r="BH62" s="120">
        <f t="shared" si="63"/>
        <v>2853552.0000000028</v>
      </c>
      <c r="BI62" s="120">
        <f t="shared" si="64"/>
        <v>3618653.9999999963</v>
      </c>
      <c r="BJ62" s="120">
        <f t="shared" si="65"/>
        <v>4314803.9999999963</v>
      </c>
      <c r="BK62" s="120">
        <f t="shared" si="66"/>
        <v>5319911.9999999935</v>
      </c>
      <c r="BL62" s="120">
        <f t="shared" si="67"/>
        <v>3170465.9999999995</v>
      </c>
      <c r="BM62" s="120">
        <f t="shared" si="68"/>
        <v>3748601.9999999963</v>
      </c>
      <c r="BN62" s="120">
        <f t="shared" si="69"/>
        <v>4766969.9999999991</v>
      </c>
      <c r="BO62" s="120">
        <f t="shared" si="70"/>
        <v>5457815.9999999925</v>
      </c>
      <c r="BP62" s="120">
        <f t="shared" si="71"/>
        <v>5621086.9565217383</v>
      </c>
      <c r="BQ62" s="120">
        <f t="shared" si="72"/>
        <v>4713929.9999999963</v>
      </c>
      <c r="BR62" s="120">
        <f t="shared" si="73"/>
        <v>5449197.0000000056</v>
      </c>
      <c r="BS62" s="120">
        <f t="shared" si="74"/>
        <v>5621086.9565217383</v>
      </c>
      <c r="BT62" s="120">
        <f t="shared" si="75"/>
        <v>5621086.9565217383</v>
      </c>
      <c r="BU62" s="120">
        <f t="shared" si="76"/>
        <v>5621086.9565217383</v>
      </c>
      <c r="BV62" s="120">
        <f t="shared" si="77"/>
        <v>5621086.9565217383</v>
      </c>
      <c r="BW62" s="120">
        <f t="shared" si="78"/>
        <v>3143945.9999999995</v>
      </c>
      <c r="BX62" s="120">
        <f t="shared" si="79"/>
        <v>3773795.9999999963</v>
      </c>
      <c r="BY62" s="120">
        <f t="shared" si="80"/>
        <v>4293588.0000000028</v>
      </c>
      <c r="BZ62" s="120">
        <f t="shared" si="81"/>
        <v>5330519.9999999991</v>
      </c>
      <c r="CA62" s="120">
        <f t="shared" si="82"/>
        <v>5621086.9565217383</v>
      </c>
      <c r="CB62" s="120">
        <f t="shared" si="83"/>
        <v>4073472.0000000028</v>
      </c>
      <c r="CC62" s="120">
        <f t="shared" si="84"/>
        <v>4667519.9999999991</v>
      </c>
      <c r="CD62" s="120">
        <f t="shared" si="85"/>
        <v>5621086.9565217383</v>
      </c>
      <c r="CE62" s="120">
        <f t="shared" si="86"/>
        <v>5621086.9565217383</v>
      </c>
      <c r="CF62" s="120">
        <f t="shared" si="87"/>
        <v>5621086.9565217383</v>
      </c>
      <c r="CG62" s="120">
        <f t="shared" si="88"/>
        <v>5621086.9565217383</v>
      </c>
      <c r="CH62" s="120">
        <f t="shared" si="89"/>
        <v>5621086.9565217383</v>
      </c>
      <c r="CI62" s="120">
        <f t="shared" si="90"/>
        <v>5621086.9565217383</v>
      </c>
      <c r="CJ62" s="120">
        <f t="shared" si="91"/>
        <v>5621086.9565217383</v>
      </c>
      <c r="CK62" s="120">
        <f t="shared" si="92"/>
        <v>5621086.9565217383</v>
      </c>
      <c r="CL62" s="120">
        <f t="shared" si="6"/>
        <v>5621086.9565217383</v>
      </c>
      <c r="CM62" s="120">
        <f t="shared" si="6"/>
        <v>5621086.9565217383</v>
      </c>
      <c r="CN62" s="120">
        <f t="shared" si="6"/>
        <v>5621086.9565217383</v>
      </c>
      <c r="CO62" s="120">
        <f t="shared" si="7"/>
        <v>5621086.9565217383</v>
      </c>
      <c r="CP62" s="120">
        <f t="shared" si="8"/>
        <v>5621086.9565217383</v>
      </c>
      <c r="CQ62" s="120">
        <f t="shared" si="93"/>
        <v>5621086.9565217383</v>
      </c>
      <c r="CR62" s="120">
        <f>SUM(CQ62:CQ80)</f>
        <v>28745721.343873508</v>
      </c>
      <c r="CS62" s="321">
        <f t="shared" si="9"/>
        <v>0.50048981150773164</v>
      </c>
      <c r="CT62" s="319">
        <f t="shared" si="10"/>
        <v>0.38545641025641025</v>
      </c>
      <c r="CU62" s="320">
        <f t="shared" si="11"/>
        <v>0.50057435897435842</v>
      </c>
      <c r="CV62" s="320">
        <f t="shared" si="12"/>
        <v>0.66216410256410196</v>
      </c>
      <c r="CW62" s="320">
        <f t="shared" si="13"/>
        <v>0.75841025641025583</v>
      </c>
      <c r="CX62" s="320">
        <f t="shared" si="14"/>
        <v>0.37012307692307667</v>
      </c>
      <c r="CY62" s="320">
        <f t="shared" si="15"/>
        <v>0.4791076923076929</v>
      </c>
      <c r="CZ62" s="320">
        <f t="shared" si="16"/>
        <v>0.66523076923076929</v>
      </c>
      <c r="DA62" s="320">
        <f t="shared" si="17"/>
        <v>0.38238974358974387</v>
      </c>
      <c r="DB62" s="320">
        <f t="shared" si="18"/>
        <v>0.50765128205128263</v>
      </c>
      <c r="DC62" s="320">
        <f t="shared" si="19"/>
        <v>0.64376410256410199</v>
      </c>
      <c r="DD62" s="320">
        <f t="shared" si="20"/>
        <v>0.76761025641025582</v>
      </c>
      <c r="DE62" s="320">
        <f t="shared" si="21"/>
        <v>0.94642051282051176</v>
      </c>
      <c r="DF62" s="320">
        <f t="shared" si="22"/>
        <v>0.56403076923076922</v>
      </c>
      <c r="DG62" s="320">
        <f t="shared" si="23"/>
        <v>0.66688205128205069</v>
      </c>
      <c r="DH62" s="320">
        <f t="shared" si="24"/>
        <v>0.848051282051282</v>
      </c>
      <c r="DI62" s="320">
        <f t="shared" si="25"/>
        <v>0.97095384615384495</v>
      </c>
      <c r="DJ62" s="320">
        <f t="shared" si="26"/>
        <v>1</v>
      </c>
      <c r="DK62" s="320">
        <f t="shared" si="27"/>
        <v>0.8386153846153841</v>
      </c>
      <c r="DL62" s="320">
        <f t="shared" si="28"/>
        <v>0.969420512820514</v>
      </c>
      <c r="DM62" s="320">
        <f t="shared" si="29"/>
        <v>1</v>
      </c>
      <c r="DN62" s="320">
        <f t="shared" si="30"/>
        <v>1</v>
      </c>
      <c r="DO62" s="320">
        <f t="shared" si="31"/>
        <v>1</v>
      </c>
      <c r="DP62" s="320">
        <f t="shared" si="32"/>
        <v>1</v>
      </c>
      <c r="DQ62" s="320">
        <f t="shared" si="33"/>
        <v>0.5593128205128205</v>
      </c>
      <c r="DR62" s="320">
        <f t="shared" si="34"/>
        <v>0.67136410256410195</v>
      </c>
      <c r="DS62" s="320">
        <f t="shared" si="35"/>
        <v>0.76383589743589808</v>
      </c>
      <c r="DT62" s="320">
        <f t="shared" si="36"/>
        <v>0.9483076923076923</v>
      </c>
      <c r="DU62" s="320">
        <f t="shared" si="37"/>
        <v>1</v>
      </c>
      <c r="DV62" s="320">
        <f t="shared" si="38"/>
        <v>0.72467692307692366</v>
      </c>
      <c r="DW62" s="320">
        <f t="shared" si="39"/>
        <v>0.83035897435897432</v>
      </c>
      <c r="DX62" s="320">
        <f t="shared" si="40"/>
        <v>1</v>
      </c>
      <c r="DY62" s="320">
        <f t="shared" si="41"/>
        <v>1</v>
      </c>
      <c r="DZ62" s="320">
        <f t="shared" si="42"/>
        <v>1</v>
      </c>
      <c r="EA62" s="320">
        <f t="shared" si="43"/>
        <v>1</v>
      </c>
      <c r="EB62" s="320">
        <f t="shared" si="44"/>
        <v>1</v>
      </c>
      <c r="EC62" s="320">
        <f t="shared" si="45"/>
        <v>1</v>
      </c>
      <c r="ED62" s="320">
        <f t="shared" si="46"/>
        <v>1</v>
      </c>
      <c r="EE62" s="320">
        <f t="shared" si="47"/>
        <v>1</v>
      </c>
      <c r="EF62" s="320">
        <f t="shared" si="48"/>
        <v>1</v>
      </c>
      <c r="EG62" s="320">
        <f t="shared" si="48"/>
        <v>1</v>
      </c>
      <c r="EH62" s="320">
        <f t="shared" si="48"/>
        <v>1</v>
      </c>
      <c r="EI62" s="320">
        <f t="shared" si="49"/>
        <v>1</v>
      </c>
      <c r="EJ62" s="320">
        <f t="shared" si="50"/>
        <v>1</v>
      </c>
      <c r="EK62" s="321">
        <f t="shared" si="51"/>
        <v>1</v>
      </c>
    </row>
    <row r="63" spans="1:141">
      <c r="A63" s="21">
        <v>30</v>
      </c>
      <c r="B63" s="21">
        <v>35</v>
      </c>
      <c r="C63" s="21">
        <f t="shared" si="97"/>
        <v>32.5</v>
      </c>
      <c r="D63" s="21">
        <f t="shared" si="1"/>
        <v>641</v>
      </c>
      <c r="E63" s="1">
        <f t="shared" si="102"/>
        <v>0.63636363636363624</v>
      </c>
      <c r="F63" s="144">
        <f t="shared" si="105"/>
        <v>3.1305000000000005</v>
      </c>
      <c r="G63" s="283">
        <f t="shared" si="52"/>
        <v>0.39855072463768115</v>
      </c>
      <c r="H63" s="23">
        <f t="shared" si="3"/>
        <v>17934.782608695652</v>
      </c>
      <c r="I63" s="119">
        <f t="shared" ref="I63:AY63" si="107">HLOOKUP(I$50,loadcorr,122,FALSE)</f>
        <v>8870</v>
      </c>
      <c r="J63" s="120">
        <f t="shared" si="107"/>
        <v>11376.666666666648</v>
      </c>
      <c r="K63" s="120">
        <f t="shared" si="107"/>
        <v>15051.666666666648</v>
      </c>
      <c r="L63" s="120">
        <f t="shared" si="107"/>
        <v>17491.666666666661</v>
      </c>
      <c r="M63" s="120">
        <f t="shared" si="107"/>
        <v>8628.3333333333285</v>
      </c>
      <c r="N63" s="120">
        <f t="shared" si="107"/>
        <v>11038.333333333352</v>
      </c>
      <c r="O63" s="120">
        <f t="shared" si="107"/>
        <v>15100</v>
      </c>
      <c r="P63" s="120">
        <f t="shared" si="107"/>
        <v>8821.6666666666679</v>
      </c>
      <c r="Q63" s="120">
        <f t="shared" si="107"/>
        <v>11693.333333333352</v>
      </c>
      <c r="R63" s="120">
        <f t="shared" si="107"/>
        <v>14761.666666666648</v>
      </c>
      <c r="S63" s="120">
        <f t="shared" si="107"/>
        <v>17636.666666666664</v>
      </c>
      <c r="T63" s="120">
        <f t="shared" si="107"/>
        <v>21993.333333333299</v>
      </c>
      <c r="U63" s="120">
        <f t="shared" si="107"/>
        <v>12505</v>
      </c>
      <c r="V63" s="120">
        <f t="shared" si="107"/>
        <v>15151.666666666648</v>
      </c>
      <c r="W63" s="120">
        <f t="shared" si="107"/>
        <v>18725</v>
      </c>
      <c r="X63" s="120">
        <f t="shared" si="107"/>
        <v>21713.333333333296</v>
      </c>
      <c r="Y63" s="120">
        <f t="shared" si="107"/>
        <v>30955</v>
      </c>
      <c r="Z63" s="120">
        <f t="shared" si="107"/>
        <v>18858.33333333331</v>
      </c>
      <c r="AA63" s="120">
        <f t="shared" si="107"/>
        <v>21689.166666666704</v>
      </c>
      <c r="AB63" s="120">
        <f t="shared" si="107"/>
        <v>25088.873333333344</v>
      </c>
      <c r="AC63" s="120">
        <f t="shared" si="107"/>
        <v>30884.400000000045</v>
      </c>
      <c r="AD63" s="120">
        <f t="shared" si="107"/>
        <v>38777.080000000082</v>
      </c>
      <c r="AE63" s="120">
        <f t="shared" si="107"/>
        <v>43586.099999999955</v>
      </c>
      <c r="AF63" s="120">
        <f t="shared" si="107"/>
        <v>12405</v>
      </c>
      <c r="AG63" s="120">
        <f t="shared" si="107"/>
        <v>15196.666666666648</v>
      </c>
      <c r="AH63" s="120">
        <f t="shared" si="107"/>
        <v>17423.333333333336</v>
      </c>
      <c r="AI63" s="120">
        <f t="shared" si="107"/>
        <v>21100</v>
      </c>
      <c r="AJ63" s="120">
        <f t="shared" si="107"/>
        <v>25311.666666666704</v>
      </c>
      <c r="AK63" s="120">
        <f t="shared" si="107"/>
        <v>16293.333333333352</v>
      </c>
      <c r="AL63" s="120">
        <f t="shared" si="107"/>
        <v>18933.333333333318</v>
      </c>
      <c r="AM63" s="120">
        <f t="shared" si="107"/>
        <v>22825</v>
      </c>
      <c r="AN63" s="120">
        <f t="shared" si="107"/>
        <v>26100</v>
      </c>
      <c r="AO63" s="120">
        <f t="shared" si="107"/>
        <v>22000</v>
      </c>
      <c r="AP63" s="120">
        <f t="shared" si="107"/>
        <v>25000</v>
      </c>
      <c r="AQ63" s="120">
        <f t="shared" si="107"/>
        <v>28600</v>
      </c>
      <c r="AR63" s="120">
        <f t="shared" si="107"/>
        <v>45000</v>
      </c>
      <c r="AS63" s="120">
        <f t="shared" si="107"/>
        <v>48000</v>
      </c>
      <c r="AT63" s="120">
        <f t="shared" si="107"/>
        <v>54000</v>
      </c>
      <c r="AU63" s="120">
        <f t="shared" si="107"/>
        <v>37349.333333333365</v>
      </c>
      <c r="AV63" s="120">
        <f t="shared" si="107"/>
        <v>45658.666666666591</v>
      </c>
      <c r="AW63" s="120">
        <f t="shared" si="107"/>
        <v>57706</v>
      </c>
      <c r="AX63" s="120">
        <f t="shared" si="107"/>
        <v>147200</v>
      </c>
      <c r="AY63" s="304">
        <f t="shared" si="107"/>
        <v>48683.333333333409</v>
      </c>
      <c r="AZ63" s="119">
        <f t="shared" si="55"/>
        <v>3618153.6363636358</v>
      </c>
      <c r="BA63" s="120">
        <f t="shared" si="56"/>
        <v>4640645.7575757485</v>
      </c>
      <c r="BB63" s="120">
        <f t="shared" si="57"/>
        <v>6139711.6666666577</v>
      </c>
      <c r="BC63" s="120">
        <f t="shared" si="58"/>
        <v>7135009.8484848449</v>
      </c>
      <c r="BD63" s="120">
        <f t="shared" si="59"/>
        <v>3519575.6060606032</v>
      </c>
      <c r="BE63" s="120">
        <f t="shared" si="60"/>
        <v>4502636.5151515221</v>
      </c>
      <c r="BF63" s="120">
        <f t="shared" si="61"/>
        <v>6159427.2727272715</v>
      </c>
      <c r="BG63" s="120">
        <f t="shared" si="62"/>
        <v>3598438.0303030298</v>
      </c>
      <c r="BH63" s="120">
        <f t="shared" si="63"/>
        <v>4769816.9696969762</v>
      </c>
      <c r="BI63" s="120">
        <f t="shared" si="64"/>
        <v>6021418.030303021</v>
      </c>
      <c r="BJ63" s="120">
        <f t="shared" si="65"/>
        <v>7194156.6666666642</v>
      </c>
      <c r="BK63" s="120">
        <f t="shared" si="66"/>
        <v>7315760.8695652159</v>
      </c>
      <c r="BL63" s="120">
        <f t="shared" si="67"/>
        <v>5100903.1818181807</v>
      </c>
      <c r="BM63" s="120">
        <f t="shared" si="68"/>
        <v>6180502.5757575668</v>
      </c>
      <c r="BN63" s="120">
        <f t="shared" si="69"/>
        <v>7315760.8695652159</v>
      </c>
      <c r="BO63" s="120">
        <f t="shared" si="70"/>
        <v>7315760.8695652159</v>
      </c>
      <c r="BP63" s="120">
        <f t="shared" si="71"/>
        <v>7315760.8695652159</v>
      </c>
      <c r="BQ63" s="120">
        <f t="shared" si="72"/>
        <v>7315760.8695652159</v>
      </c>
      <c r="BR63" s="120">
        <f t="shared" si="73"/>
        <v>7315760.8695652159</v>
      </c>
      <c r="BS63" s="120">
        <f t="shared" si="74"/>
        <v>7315760.8695652159</v>
      </c>
      <c r="BT63" s="120">
        <f t="shared" si="75"/>
        <v>7315760.8695652159</v>
      </c>
      <c r="BU63" s="120">
        <f t="shared" si="76"/>
        <v>7315760.8695652159</v>
      </c>
      <c r="BV63" s="120">
        <f t="shared" si="77"/>
        <v>7315760.8695652159</v>
      </c>
      <c r="BW63" s="120">
        <f t="shared" si="78"/>
        <v>5060112.2727272715</v>
      </c>
      <c r="BX63" s="120">
        <f t="shared" si="79"/>
        <v>6198858.484848476</v>
      </c>
      <c r="BY63" s="120">
        <f t="shared" si="80"/>
        <v>7107136.0606060596</v>
      </c>
      <c r="BZ63" s="120">
        <f t="shared" si="81"/>
        <v>7315760.8695652159</v>
      </c>
      <c r="CA63" s="120">
        <f t="shared" si="82"/>
        <v>7315760.8695652159</v>
      </c>
      <c r="CB63" s="120">
        <f t="shared" si="83"/>
        <v>6646198.7878787946</v>
      </c>
      <c r="CC63" s="120">
        <f t="shared" si="84"/>
        <v>7315760.8695652159</v>
      </c>
      <c r="CD63" s="120">
        <f t="shared" si="85"/>
        <v>7315760.8695652159</v>
      </c>
      <c r="CE63" s="120">
        <f t="shared" si="86"/>
        <v>7315760.8695652159</v>
      </c>
      <c r="CF63" s="120">
        <f t="shared" si="87"/>
        <v>7315760.8695652159</v>
      </c>
      <c r="CG63" s="120">
        <f t="shared" si="88"/>
        <v>7315760.8695652159</v>
      </c>
      <c r="CH63" s="120">
        <f t="shared" si="89"/>
        <v>7315760.8695652159</v>
      </c>
      <c r="CI63" s="120">
        <f t="shared" si="90"/>
        <v>7315760.8695652159</v>
      </c>
      <c r="CJ63" s="120">
        <f t="shared" si="91"/>
        <v>7315760.8695652159</v>
      </c>
      <c r="CK63" s="120">
        <f t="shared" si="92"/>
        <v>7315760.8695652159</v>
      </c>
      <c r="CL63" s="120">
        <f t="shared" si="6"/>
        <v>7315760.8695652159</v>
      </c>
      <c r="CM63" s="120">
        <f t="shared" si="6"/>
        <v>7315760.8695652159</v>
      </c>
      <c r="CN63" s="120">
        <f t="shared" si="6"/>
        <v>7315760.8695652159</v>
      </c>
      <c r="CO63" s="120">
        <f t="shared" si="7"/>
        <v>7315760.8695652159</v>
      </c>
      <c r="CP63" s="120">
        <f t="shared" si="8"/>
        <v>7315760.8695652159</v>
      </c>
      <c r="CQ63" s="120">
        <f t="shared" si="93"/>
        <v>7315760.8695652159</v>
      </c>
      <c r="CR63" s="120">
        <f>SUM(CQ63:CQ80)</f>
        <v>23124634.387351774</v>
      </c>
      <c r="CS63" s="321">
        <f t="shared" si="9"/>
        <v>0.40262144641493069</v>
      </c>
      <c r="CT63" s="319">
        <f t="shared" si="10"/>
        <v>0.49456969696969699</v>
      </c>
      <c r="CU63" s="320">
        <f t="shared" si="11"/>
        <v>0.63433535353535242</v>
      </c>
      <c r="CV63" s="320">
        <f t="shared" si="12"/>
        <v>0.83924444444444335</v>
      </c>
      <c r="CW63" s="320">
        <f t="shared" si="13"/>
        <v>0.97529292929292899</v>
      </c>
      <c r="CX63" s="320">
        <f t="shared" si="14"/>
        <v>0.48109494949494919</v>
      </c>
      <c r="CY63" s="320">
        <f t="shared" si="15"/>
        <v>0.61547070707070817</v>
      </c>
      <c r="CZ63" s="320">
        <f t="shared" si="16"/>
        <v>0.84193939393939399</v>
      </c>
      <c r="DA63" s="320">
        <f t="shared" si="17"/>
        <v>0.49187474747474752</v>
      </c>
      <c r="DB63" s="320">
        <f t="shared" si="18"/>
        <v>0.65199191919192023</v>
      </c>
      <c r="DC63" s="320">
        <f t="shared" si="19"/>
        <v>0.8230747474747464</v>
      </c>
      <c r="DD63" s="320">
        <f t="shared" si="20"/>
        <v>0.98337777777777768</v>
      </c>
      <c r="DE63" s="320">
        <f t="shared" si="21"/>
        <v>1</v>
      </c>
      <c r="DF63" s="320">
        <f t="shared" si="22"/>
        <v>0.6972484848484849</v>
      </c>
      <c r="DG63" s="320">
        <f t="shared" si="23"/>
        <v>0.84482020202020103</v>
      </c>
      <c r="DH63" s="320">
        <f t="shared" si="24"/>
        <v>1</v>
      </c>
      <c r="DI63" s="320">
        <f t="shared" si="25"/>
        <v>1</v>
      </c>
      <c r="DJ63" s="320">
        <f t="shared" si="26"/>
        <v>1</v>
      </c>
      <c r="DK63" s="320">
        <f t="shared" si="27"/>
        <v>1</v>
      </c>
      <c r="DL63" s="320">
        <f t="shared" si="28"/>
        <v>1</v>
      </c>
      <c r="DM63" s="320">
        <f t="shared" si="29"/>
        <v>1</v>
      </c>
      <c r="DN63" s="320">
        <f t="shared" si="30"/>
        <v>1</v>
      </c>
      <c r="DO63" s="320">
        <f t="shared" si="31"/>
        <v>1</v>
      </c>
      <c r="DP63" s="320">
        <f t="shared" si="32"/>
        <v>1</v>
      </c>
      <c r="DQ63" s="320">
        <f t="shared" si="33"/>
        <v>0.69167272727272722</v>
      </c>
      <c r="DR63" s="320">
        <f t="shared" si="34"/>
        <v>0.84732929292929193</v>
      </c>
      <c r="DS63" s="320">
        <f t="shared" si="35"/>
        <v>0.97148282828282839</v>
      </c>
      <c r="DT63" s="320">
        <f t="shared" si="36"/>
        <v>1</v>
      </c>
      <c r="DU63" s="320">
        <f t="shared" si="37"/>
        <v>1</v>
      </c>
      <c r="DV63" s="320">
        <f t="shared" si="38"/>
        <v>0.90847676767676877</v>
      </c>
      <c r="DW63" s="320">
        <f t="shared" si="39"/>
        <v>1</v>
      </c>
      <c r="DX63" s="320">
        <f t="shared" si="40"/>
        <v>1</v>
      </c>
      <c r="DY63" s="320">
        <f t="shared" si="41"/>
        <v>1</v>
      </c>
      <c r="DZ63" s="320">
        <f t="shared" si="42"/>
        <v>1</v>
      </c>
      <c r="EA63" s="320">
        <f t="shared" si="43"/>
        <v>1</v>
      </c>
      <c r="EB63" s="320">
        <f t="shared" si="44"/>
        <v>1</v>
      </c>
      <c r="EC63" s="320">
        <f t="shared" si="45"/>
        <v>1</v>
      </c>
      <c r="ED63" s="320">
        <f t="shared" si="46"/>
        <v>1</v>
      </c>
      <c r="EE63" s="320">
        <f t="shared" si="47"/>
        <v>1</v>
      </c>
      <c r="EF63" s="320">
        <f t="shared" si="48"/>
        <v>1</v>
      </c>
      <c r="EG63" s="320">
        <f t="shared" si="48"/>
        <v>1</v>
      </c>
      <c r="EH63" s="320">
        <f t="shared" si="48"/>
        <v>1</v>
      </c>
      <c r="EI63" s="320">
        <f t="shared" si="49"/>
        <v>1</v>
      </c>
      <c r="EJ63" s="320">
        <f t="shared" si="50"/>
        <v>1</v>
      </c>
      <c r="EK63" s="321">
        <f t="shared" si="51"/>
        <v>1</v>
      </c>
    </row>
    <row r="64" spans="1:141">
      <c r="A64" s="21">
        <v>35</v>
      </c>
      <c r="B64" s="21">
        <v>40</v>
      </c>
      <c r="C64" s="21">
        <f t="shared" si="97"/>
        <v>37.5</v>
      </c>
      <c r="D64" s="21">
        <f t="shared" si="1"/>
        <v>941</v>
      </c>
      <c r="E64" s="1">
        <f t="shared" si="102"/>
        <v>0.56363636363636349</v>
      </c>
      <c r="F64" s="144">
        <f t="shared" si="105"/>
        <v>3.3370000000000006</v>
      </c>
      <c r="G64" s="283">
        <f t="shared" si="52"/>
        <v>0.32608695652173914</v>
      </c>
      <c r="H64" s="23">
        <f t="shared" si="3"/>
        <v>14673.913043478262</v>
      </c>
      <c r="I64" s="119">
        <f t="shared" ref="I64:AY64" si="108">HLOOKUP(I$50,loadcorr,132,FALSE)</f>
        <v>9570</v>
      </c>
      <c r="J64" s="120">
        <f t="shared" si="108"/>
        <v>12143.333333333308</v>
      </c>
      <c r="K64" s="120">
        <f t="shared" si="108"/>
        <v>16068.333333333308</v>
      </c>
      <c r="L64" s="120">
        <f t="shared" si="108"/>
        <v>18908.333333333339</v>
      </c>
      <c r="M64" s="120">
        <f t="shared" si="108"/>
        <v>9411.6666666666679</v>
      </c>
      <c r="N64" s="120">
        <f t="shared" si="108"/>
        <v>11921.666666666692</v>
      </c>
      <c r="O64" s="120">
        <f t="shared" si="108"/>
        <v>16100</v>
      </c>
      <c r="P64" s="120">
        <f t="shared" si="108"/>
        <v>9538.3333333333285</v>
      </c>
      <c r="Q64" s="120">
        <f t="shared" si="108"/>
        <v>12626.666666666692</v>
      </c>
      <c r="R64" s="120">
        <f t="shared" si="108"/>
        <v>15878.333333333308</v>
      </c>
      <c r="S64" s="120">
        <f t="shared" si="108"/>
        <v>19003.333333333343</v>
      </c>
      <c r="T64" s="120">
        <f t="shared" si="108"/>
        <v>23926.666666666621</v>
      </c>
      <c r="U64" s="120">
        <f t="shared" si="108"/>
        <v>13055</v>
      </c>
      <c r="V64" s="120">
        <f t="shared" si="108"/>
        <v>16168.333333333308</v>
      </c>
      <c r="W64" s="120">
        <f t="shared" si="108"/>
        <v>19475</v>
      </c>
      <c r="X64" s="120">
        <f t="shared" si="108"/>
        <v>22846.666666666617</v>
      </c>
      <c r="Y64" s="120">
        <f t="shared" si="108"/>
        <v>33005</v>
      </c>
      <c r="Z64" s="120">
        <f t="shared" si="108"/>
        <v>19941.666666666631</v>
      </c>
      <c r="AA64" s="120">
        <f t="shared" si="108"/>
        <v>22830.833333333383</v>
      </c>
      <c r="AB64" s="120">
        <f t="shared" si="108"/>
        <v>26299.606666666681</v>
      </c>
      <c r="AC64" s="120">
        <f t="shared" si="108"/>
        <v>32648.40000000006</v>
      </c>
      <c r="AD64" s="120">
        <f t="shared" si="108"/>
        <v>40991.880000000114</v>
      </c>
      <c r="AE64" s="120">
        <f t="shared" si="108"/>
        <v>47177.09999999994</v>
      </c>
      <c r="AF64" s="120">
        <f t="shared" si="108"/>
        <v>12955</v>
      </c>
      <c r="AG64" s="120">
        <f t="shared" si="108"/>
        <v>16163.333333333308</v>
      </c>
      <c r="AH64" s="120">
        <f t="shared" si="108"/>
        <v>18656.666666666657</v>
      </c>
      <c r="AI64" s="120">
        <f t="shared" si="108"/>
        <v>22100</v>
      </c>
      <c r="AJ64" s="120">
        <f t="shared" si="108"/>
        <v>26928.333333333383</v>
      </c>
      <c r="AK64" s="120">
        <f t="shared" si="108"/>
        <v>17226.666666666675</v>
      </c>
      <c r="AL64" s="120">
        <f t="shared" si="108"/>
        <v>20266.666666666639</v>
      </c>
      <c r="AM64" s="120">
        <f t="shared" si="108"/>
        <v>23575</v>
      </c>
      <c r="AN64" s="120">
        <f t="shared" si="108"/>
        <v>27100</v>
      </c>
      <c r="AO64" s="120">
        <f t="shared" si="108"/>
        <v>22000</v>
      </c>
      <c r="AP64" s="120">
        <f t="shared" si="108"/>
        <v>25000</v>
      </c>
      <c r="AQ64" s="120">
        <f t="shared" si="108"/>
        <v>28600</v>
      </c>
      <c r="AR64" s="120">
        <f t="shared" si="108"/>
        <v>45000</v>
      </c>
      <c r="AS64" s="120">
        <f t="shared" si="108"/>
        <v>48000</v>
      </c>
      <c r="AT64" s="120">
        <f t="shared" si="108"/>
        <v>54000</v>
      </c>
      <c r="AU64" s="120">
        <f t="shared" si="108"/>
        <v>39642.666666666722</v>
      </c>
      <c r="AV64" s="120">
        <f t="shared" si="108"/>
        <v>47845.333333333234</v>
      </c>
      <c r="AW64" s="120">
        <f t="shared" si="108"/>
        <v>60566</v>
      </c>
      <c r="AX64" s="120">
        <f t="shared" si="108"/>
        <v>147200</v>
      </c>
      <c r="AY64" s="304">
        <f t="shared" si="108"/>
        <v>50516.666666666766</v>
      </c>
      <c r="AZ64" s="119">
        <f t="shared" si="55"/>
        <v>5075753.9999999991</v>
      </c>
      <c r="BA64" s="120">
        <f t="shared" si="56"/>
        <v>6440603.212121198</v>
      </c>
      <c r="BB64" s="120">
        <f t="shared" si="57"/>
        <v>7782776.6798418956</v>
      </c>
      <c r="BC64" s="120">
        <f t="shared" si="58"/>
        <v>7782776.6798418956</v>
      </c>
      <c r="BD64" s="120">
        <f t="shared" si="59"/>
        <v>4991776.878787878</v>
      </c>
      <c r="BE64" s="120">
        <f t="shared" si="60"/>
        <v>6323035.2424242534</v>
      </c>
      <c r="BF64" s="120">
        <f t="shared" si="61"/>
        <v>7782776.6798418956</v>
      </c>
      <c r="BG64" s="120">
        <f t="shared" si="62"/>
        <v>5058958.5757575724</v>
      </c>
      <c r="BH64" s="120">
        <f t="shared" si="63"/>
        <v>6696954.424242435</v>
      </c>
      <c r="BI64" s="120">
        <f t="shared" si="64"/>
        <v>7782776.6798418956</v>
      </c>
      <c r="BJ64" s="120">
        <f t="shared" si="65"/>
        <v>7782776.6798418956</v>
      </c>
      <c r="BK64" s="120">
        <f t="shared" si="66"/>
        <v>7782776.6798418956</v>
      </c>
      <c r="BL64" s="120">
        <f t="shared" si="67"/>
        <v>6924134.6363636348</v>
      </c>
      <c r="BM64" s="120">
        <f t="shared" si="68"/>
        <v>7782776.6798418956</v>
      </c>
      <c r="BN64" s="120">
        <f t="shared" si="69"/>
        <v>7782776.6798418956</v>
      </c>
      <c r="BO64" s="120">
        <f t="shared" si="70"/>
        <v>7782776.6798418956</v>
      </c>
      <c r="BP64" s="120">
        <f t="shared" si="71"/>
        <v>7782776.6798418956</v>
      </c>
      <c r="BQ64" s="120">
        <f t="shared" si="72"/>
        <v>7782776.6798418956</v>
      </c>
      <c r="BR64" s="120">
        <f t="shared" si="73"/>
        <v>7782776.6798418956</v>
      </c>
      <c r="BS64" s="120">
        <f t="shared" si="74"/>
        <v>7782776.6798418956</v>
      </c>
      <c r="BT64" s="120">
        <f t="shared" si="75"/>
        <v>7782776.6798418956</v>
      </c>
      <c r="BU64" s="120">
        <f t="shared" si="76"/>
        <v>7782776.6798418956</v>
      </c>
      <c r="BV64" s="120">
        <f t="shared" si="77"/>
        <v>7782776.6798418956</v>
      </c>
      <c r="BW64" s="120">
        <f t="shared" si="78"/>
        <v>6871096.4545454532</v>
      </c>
      <c r="BX64" s="120">
        <f t="shared" si="79"/>
        <v>7782776.6798418956</v>
      </c>
      <c r="BY64" s="120">
        <f t="shared" si="80"/>
        <v>7782776.6798418956</v>
      </c>
      <c r="BZ64" s="120">
        <f t="shared" si="81"/>
        <v>7782776.6798418956</v>
      </c>
      <c r="CA64" s="120">
        <f t="shared" si="82"/>
        <v>7782776.6798418956</v>
      </c>
      <c r="CB64" s="120">
        <f t="shared" si="83"/>
        <v>7782776.6798418956</v>
      </c>
      <c r="CC64" s="120">
        <f t="shared" si="84"/>
        <v>7782776.6798418956</v>
      </c>
      <c r="CD64" s="120">
        <f t="shared" si="85"/>
        <v>7782776.6798418956</v>
      </c>
      <c r="CE64" s="120">
        <f t="shared" si="86"/>
        <v>7782776.6798418956</v>
      </c>
      <c r="CF64" s="120">
        <f t="shared" si="87"/>
        <v>7782776.6798418956</v>
      </c>
      <c r="CG64" s="120">
        <f t="shared" si="88"/>
        <v>7782776.6798418956</v>
      </c>
      <c r="CH64" s="120">
        <f t="shared" si="89"/>
        <v>7782776.6798418956</v>
      </c>
      <c r="CI64" s="120">
        <f t="shared" si="90"/>
        <v>7782776.6798418956</v>
      </c>
      <c r="CJ64" s="120">
        <f t="shared" si="91"/>
        <v>7782776.6798418956</v>
      </c>
      <c r="CK64" s="120">
        <f t="shared" si="92"/>
        <v>7782776.6798418956</v>
      </c>
      <c r="CL64" s="120">
        <f t="shared" si="6"/>
        <v>7782776.6798418956</v>
      </c>
      <c r="CM64" s="120">
        <f t="shared" si="6"/>
        <v>7782776.6798418956</v>
      </c>
      <c r="CN64" s="120">
        <f t="shared" si="6"/>
        <v>7782776.6798418956</v>
      </c>
      <c r="CO64" s="120">
        <f t="shared" si="7"/>
        <v>7782776.6798418956</v>
      </c>
      <c r="CP64" s="120">
        <f t="shared" si="8"/>
        <v>7782776.6798418956</v>
      </c>
      <c r="CQ64" s="120">
        <f t="shared" si="93"/>
        <v>7782776.6798418956</v>
      </c>
      <c r="CR64" s="120">
        <f>SUM(CQ64:CQ80)</f>
        <v>15808873.517786557</v>
      </c>
      <c r="CS64" s="321">
        <f t="shared" si="9"/>
        <v>0.27524722835848625</v>
      </c>
      <c r="CT64" s="319">
        <f t="shared" si="10"/>
        <v>0.65217777777777775</v>
      </c>
      <c r="CU64" s="320">
        <f t="shared" si="11"/>
        <v>0.82754567901234399</v>
      </c>
      <c r="CV64" s="320">
        <f t="shared" si="12"/>
        <v>1</v>
      </c>
      <c r="CW64" s="320">
        <f t="shared" si="13"/>
        <v>1</v>
      </c>
      <c r="CX64" s="320">
        <f t="shared" si="14"/>
        <v>0.64138765432098765</v>
      </c>
      <c r="CY64" s="320">
        <f t="shared" si="15"/>
        <v>0.81243950617284111</v>
      </c>
      <c r="CZ64" s="320">
        <f t="shared" si="16"/>
        <v>1</v>
      </c>
      <c r="DA64" s="320">
        <f t="shared" si="17"/>
        <v>0.65001975308641946</v>
      </c>
      <c r="DB64" s="320">
        <f t="shared" si="18"/>
        <v>0.86048395061728555</v>
      </c>
      <c r="DC64" s="320">
        <f t="shared" si="19"/>
        <v>1</v>
      </c>
      <c r="DD64" s="320">
        <f t="shared" si="20"/>
        <v>1</v>
      </c>
      <c r="DE64" s="320">
        <f t="shared" si="21"/>
        <v>1</v>
      </c>
      <c r="DF64" s="320">
        <f t="shared" si="22"/>
        <v>0.88967407407407406</v>
      </c>
      <c r="DG64" s="320">
        <f t="shared" si="23"/>
        <v>1</v>
      </c>
      <c r="DH64" s="320">
        <f t="shared" si="24"/>
        <v>1</v>
      </c>
      <c r="DI64" s="320">
        <f t="shared" si="25"/>
        <v>1</v>
      </c>
      <c r="DJ64" s="320">
        <f t="shared" si="26"/>
        <v>1</v>
      </c>
      <c r="DK64" s="320">
        <f t="shared" si="27"/>
        <v>1</v>
      </c>
      <c r="DL64" s="320">
        <f t="shared" si="28"/>
        <v>1</v>
      </c>
      <c r="DM64" s="320">
        <f t="shared" si="29"/>
        <v>1</v>
      </c>
      <c r="DN64" s="320">
        <f t="shared" si="30"/>
        <v>1</v>
      </c>
      <c r="DO64" s="320">
        <f t="shared" si="31"/>
        <v>1</v>
      </c>
      <c r="DP64" s="320">
        <f t="shared" si="32"/>
        <v>1</v>
      </c>
      <c r="DQ64" s="320">
        <f t="shared" si="33"/>
        <v>0.88285925925925923</v>
      </c>
      <c r="DR64" s="320">
        <f t="shared" si="34"/>
        <v>1</v>
      </c>
      <c r="DS64" s="320">
        <f t="shared" si="35"/>
        <v>1</v>
      </c>
      <c r="DT64" s="320">
        <f t="shared" si="36"/>
        <v>1</v>
      </c>
      <c r="DU64" s="320">
        <f t="shared" si="37"/>
        <v>1</v>
      </c>
      <c r="DV64" s="320">
        <f t="shared" si="38"/>
        <v>1</v>
      </c>
      <c r="DW64" s="320">
        <f t="shared" si="39"/>
        <v>1</v>
      </c>
      <c r="DX64" s="320">
        <f t="shared" si="40"/>
        <v>1</v>
      </c>
      <c r="DY64" s="320">
        <f t="shared" si="41"/>
        <v>1</v>
      </c>
      <c r="DZ64" s="320">
        <f t="shared" si="42"/>
        <v>1</v>
      </c>
      <c r="EA64" s="320">
        <f t="shared" si="43"/>
        <v>1</v>
      </c>
      <c r="EB64" s="320">
        <f t="shared" si="44"/>
        <v>1</v>
      </c>
      <c r="EC64" s="320">
        <f t="shared" si="45"/>
        <v>1</v>
      </c>
      <c r="ED64" s="320">
        <f t="shared" si="46"/>
        <v>1</v>
      </c>
      <c r="EE64" s="320">
        <f t="shared" si="47"/>
        <v>1</v>
      </c>
      <c r="EF64" s="320">
        <f t="shared" si="48"/>
        <v>1</v>
      </c>
      <c r="EG64" s="320">
        <f t="shared" si="48"/>
        <v>1</v>
      </c>
      <c r="EH64" s="320">
        <f t="shared" si="48"/>
        <v>1</v>
      </c>
      <c r="EI64" s="320">
        <f t="shared" si="49"/>
        <v>1</v>
      </c>
      <c r="EJ64" s="320">
        <f t="shared" si="50"/>
        <v>1</v>
      </c>
      <c r="EK64" s="321">
        <f t="shared" si="51"/>
        <v>1</v>
      </c>
    </row>
    <row r="65" spans="1:141">
      <c r="A65" s="21">
        <v>40</v>
      </c>
      <c r="B65" s="21">
        <v>45</v>
      </c>
      <c r="C65" s="21">
        <f t="shared" si="97"/>
        <v>42.5</v>
      </c>
      <c r="D65" s="21">
        <f t="shared" si="1"/>
        <v>783</v>
      </c>
      <c r="E65" s="1">
        <f t="shared" si="102"/>
        <v>0.49090909090909074</v>
      </c>
      <c r="F65" s="144">
        <f t="shared" si="105"/>
        <v>3.5435000000000008</v>
      </c>
      <c r="G65" s="283">
        <f t="shared" si="52"/>
        <v>0.25362318840579712</v>
      </c>
      <c r="H65" s="23">
        <f t="shared" si="3"/>
        <v>11413.04347826087</v>
      </c>
      <c r="I65" s="119">
        <f t="shared" ref="I65:AY65" si="109">HLOOKUP(I$50,loadcorr,142,FALSE)</f>
        <v>10270</v>
      </c>
      <c r="J65" s="120">
        <f t="shared" si="109"/>
        <v>12909.999999999969</v>
      </c>
      <c r="K65" s="120">
        <f t="shared" si="109"/>
        <v>17084.999999999982</v>
      </c>
      <c r="L65" s="120">
        <f t="shared" si="109"/>
        <v>20325.000000000018</v>
      </c>
      <c r="M65" s="120">
        <f t="shared" si="109"/>
        <v>10195.000000000007</v>
      </c>
      <c r="N65" s="120">
        <f t="shared" si="109"/>
        <v>12805.000000000031</v>
      </c>
      <c r="O65" s="120">
        <f t="shared" si="109"/>
        <v>17100</v>
      </c>
      <c r="P65" s="120">
        <f t="shared" si="109"/>
        <v>10254.999999999989</v>
      </c>
      <c r="Q65" s="120">
        <f t="shared" si="109"/>
        <v>13560.000000000031</v>
      </c>
      <c r="R65" s="120">
        <f t="shared" si="109"/>
        <v>16994.999999999978</v>
      </c>
      <c r="S65" s="120">
        <f t="shared" si="109"/>
        <v>20370.000000000022</v>
      </c>
      <c r="T65" s="120">
        <f t="shared" si="109"/>
        <v>25859.999999999942</v>
      </c>
      <c r="U65" s="120">
        <f t="shared" si="109"/>
        <v>13605</v>
      </c>
      <c r="V65" s="120">
        <f t="shared" si="109"/>
        <v>17184.999999999982</v>
      </c>
      <c r="W65" s="120">
        <f t="shared" si="109"/>
        <v>20225</v>
      </c>
      <c r="X65" s="120">
        <f t="shared" si="109"/>
        <v>23979.999999999938</v>
      </c>
      <c r="Y65" s="120">
        <f t="shared" si="109"/>
        <v>35055</v>
      </c>
      <c r="Z65" s="120">
        <f t="shared" si="109"/>
        <v>21024.999999999953</v>
      </c>
      <c r="AA65" s="120">
        <f t="shared" si="109"/>
        <v>23972.500000000062</v>
      </c>
      <c r="AB65" s="120">
        <f t="shared" si="109"/>
        <v>27510.340000000018</v>
      </c>
      <c r="AC65" s="120">
        <f t="shared" si="109"/>
        <v>34412.400000000074</v>
      </c>
      <c r="AD65" s="120">
        <f t="shared" si="109"/>
        <v>43206.680000000146</v>
      </c>
      <c r="AE65" s="120">
        <f t="shared" si="109"/>
        <v>50768.099999999926</v>
      </c>
      <c r="AF65" s="120">
        <f t="shared" si="109"/>
        <v>13505</v>
      </c>
      <c r="AG65" s="120">
        <f t="shared" si="109"/>
        <v>17129.999999999982</v>
      </c>
      <c r="AH65" s="120">
        <f t="shared" si="109"/>
        <v>19889.999999999978</v>
      </c>
      <c r="AI65" s="120">
        <f t="shared" si="109"/>
        <v>23100</v>
      </c>
      <c r="AJ65" s="120">
        <f t="shared" si="109"/>
        <v>28545.000000000062</v>
      </c>
      <c r="AK65" s="120">
        <f t="shared" si="109"/>
        <v>18159.999999999996</v>
      </c>
      <c r="AL65" s="120">
        <f t="shared" si="109"/>
        <v>21599.99999999996</v>
      </c>
      <c r="AM65" s="120">
        <f t="shared" si="109"/>
        <v>24325</v>
      </c>
      <c r="AN65" s="120">
        <f t="shared" si="109"/>
        <v>28100</v>
      </c>
      <c r="AO65" s="120">
        <f t="shared" si="109"/>
        <v>22000</v>
      </c>
      <c r="AP65" s="120">
        <f t="shared" si="109"/>
        <v>25000</v>
      </c>
      <c r="AQ65" s="120">
        <f t="shared" si="109"/>
        <v>28600</v>
      </c>
      <c r="AR65" s="120">
        <f t="shared" si="109"/>
        <v>45000</v>
      </c>
      <c r="AS65" s="120">
        <f t="shared" si="109"/>
        <v>48000</v>
      </c>
      <c r="AT65" s="120">
        <f t="shared" si="109"/>
        <v>54000</v>
      </c>
      <c r="AU65" s="120">
        <f t="shared" si="109"/>
        <v>41936.00000000008</v>
      </c>
      <c r="AV65" s="120">
        <f t="shared" si="109"/>
        <v>50031.999999999876</v>
      </c>
      <c r="AW65" s="120">
        <f t="shared" si="109"/>
        <v>63426</v>
      </c>
      <c r="AX65" s="120">
        <f t="shared" si="109"/>
        <v>147200</v>
      </c>
      <c r="AY65" s="304">
        <f t="shared" si="109"/>
        <v>52350.000000000124</v>
      </c>
      <c r="AZ65" s="119">
        <f t="shared" si="55"/>
        <v>3947601.2727272715</v>
      </c>
      <c r="BA65" s="120">
        <f t="shared" si="56"/>
        <v>4386966.4031620538</v>
      </c>
      <c r="BB65" s="120">
        <f t="shared" si="57"/>
        <v>4386966.4031620538</v>
      </c>
      <c r="BC65" s="120">
        <f t="shared" si="58"/>
        <v>4386966.4031620538</v>
      </c>
      <c r="BD65" s="120">
        <f t="shared" si="59"/>
        <v>3918772.6363636376</v>
      </c>
      <c r="BE65" s="120">
        <f t="shared" si="60"/>
        <v>4386966.4031620538</v>
      </c>
      <c r="BF65" s="120">
        <f t="shared" si="61"/>
        <v>4386966.4031620538</v>
      </c>
      <c r="BG65" s="120">
        <f t="shared" si="62"/>
        <v>3941835.5454545398</v>
      </c>
      <c r="BH65" s="120">
        <f t="shared" si="63"/>
        <v>4386966.4031620538</v>
      </c>
      <c r="BI65" s="120">
        <f t="shared" si="64"/>
        <v>4386966.4031620538</v>
      </c>
      <c r="BJ65" s="120">
        <f t="shared" si="65"/>
        <v>4386966.4031620538</v>
      </c>
      <c r="BK65" s="120">
        <f t="shared" si="66"/>
        <v>4386966.4031620538</v>
      </c>
      <c r="BL65" s="120">
        <f t="shared" si="67"/>
        <v>4386966.4031620538</v>
      </c>
      <c r="BM65" s="120">
        <f t="shared" si="68"/>
        <v>4386966.4031620538</v>
      </c>
      <c r="BN65" s="120">
        <f t="shared" si="69"/>
        <v>4386966.4031620538</v>
      </c>
      <c r="BO65" s="120">
        <f t="shared" si="70"/>
        <v>4386966.4031620538</v>
      </c>
      <c r="BP65" s="120">
        <f t="shared" si="71"/>
        <v>4386966.4031620538</v>
      </c>
      <c r="BQ65" s="120">
        <f t="shared" si="72"/>
        <v>4386966.4031620538</v>
      </c>
      <c r="BR65" s="120">
        <f t="shared" si="73"/>
        <v>4386966.4031620538</v>
      </c>
      <c r="BS65" s="120">
        <f t="shared" si="74"/>
        <v>4386966.4031620538</v>
      </c>
      <c r="BT65" s="120">
        <f t="shared" si="75"/>
        <v>4386966.4031620538</v>
      </c>
      <c r="BU65" s="120">
        <f t="shared" si="76"/>
        <v>4386966.4031620538</v>
      </c>
      <c r="BV65" s="120">
        <f t="shared" si="77"/>
        <v>4386966.4031620538</v>
      </c>
      <c r="BW65" s="120">
        <f t="shared" si="78"/>
        <v>4386966.4031620538</v>
      </c>
      <c r="BX65" s="120">
        <f t="shared" si="79"/>
        <v>4386966.4031620538</v>
      </c>
      <c r="BY65" s="120">
        <f t="shared" si="80"/>
        <v>4386966.4031620538</v>
      </c>
      <c r="BZ65" s="120">
        <f t="shared" si="81"/>
        <v>4386966.4031620538</v>
      </c>
      <c r="CA65" s="120">
        <f t="shared" si="82"/>
        <v>4386966.4031620538</v>
      </c>
      <c r="CB65" s="120">
        <f t="shared" si="83"/>
        <v>4386966.4031620538</v>
      </c>
      <c r="CC65" s="120">
        <f t="shared" si="84"/>
        <v>4386966.4031620538</v>
      </c>
      <c r="CD65" s="120">
        <f t="shared" si="85"/>
        <v>4386966.4031620538</v>
      </c>
      <c r="CE65" s="120">
        <f t="shared" si="86"/>
        <v>4386966.4031620538</v>
      </c>
      <c r="CF65" s="120">
        <f t="shared" si="87"/>
        <v>4386966.4031620538</v>
      </c>
      <c r="CG65" s="120">
        <f t="shared" si="88"/>
        <v>4386966.4031620538</v>
      </c>
      <c r="CH65" s="120">
        <f t="shared" si="89"/>
        <v>4386966.4031620538</v>
      </c>
      <c r="CI65" s="120">
        <f t="shared" si="90"/>
        <v>4386966.4031620538</v>
      </c>
      <c r="CJ65" s="120">
        <f t="shared" si="91"/>
        <v>4386966.4031620538</v>
      </c>
      <c r="CK65" s="120">
        <f t="shared" si="92"/>
        <v>4386966.4031620538</v>
      </c>
      <c r="CL65" s="120">
        <f t="shared" si="6"/>
        <v>4386966.4031620538</v>
      </c>
      <c r="CM65" s="120">
        <f t="shared" si="6"/>
        <v>4386966.4031620538</v>
      </c>
      <c r="CN65" s="120">
        <f t="shared" si="6"/>
        <v>4386966.4031620538</v>
      </c>
      <c r="CO65" s="120">
        <f t="shared" si="7"/>
        <v>4386966.4031620538</v>
      </c>
      <c r="CP65" s="120">
        <f t="shared" si="8"/>
        <v>4386966.4031620538</v>
      </c>
      <c r="CQ65" s="120">
        <f t="shared" si="93"/>
        <v>4386966.4031620538</v>
      </c>
      <c r="CR65" s="120">
        <f>SUM(CQ65:CQ80)</f>
        <v>8026096.8379446603</v>
      </c>
      <c r="CS65" s="321">
        <f t="shared" si="9"/>
        <v>0.13974182959307963</v>
      </c>
      <c r="CT65" s="319">
        <f t="shared" si="10"/>
        <v>0.89984761904761912</v>
      </c>
      <c r="CU65" s="320">
        <f t="shared" si="11"/>
        <v>1</v>
      </c>
      <c r="CV65" s="320">
        <f t="shared" si="12"/>
        <v>1</v>
      </c>
      <c r="CW65" s="320">
        <f t="shared" si="13"/>
        <v>1</v>
      </c>
      <c r="CX65" s="320">
        <f t="shared" si="14"/>
        <v>0.89327619047619111</v>
      </c>
      <c r="CY65" s="320">
        <f t="shared" si="15"/>
        <v>1</v>
      </c>
      <c r="CZ65" s="320">
        <f t="shared" si="16"/>
        <v>1</v>
      </c>
      <c r="DA65" s="320">
        <f t="shared" si="17"/>
        <v>0.89853333333333241</v>
      </c>
      <c r="DB65" s="320">
        <f t="shared" si="18"/>
        <v>1</v>
      </c>
      <c r="DC65" s="320">
        <f t="shared" si="19"/>
        <v>1</v>
      </c>
      <c r="DD65" s="320">
        <f t="shared" si="20"/>
        <v>1</v>
      </c>
      <c r="DE65" s="320">
        <f t="shared" si="21"/>
        <v>1</v>
      </c>
      <c r="DF65" s="320">
        <f t="shared" si="22"/>
        <v>1</v>
      </c>
      <c r="DG65" s="320">
        <f t="shared" si="23"/>
        <v>1</v>
      </c>
      <c r="DH65" s="320">
        <f t="shared" si="24"/>
        <v>1</v>
      </c>
      <c r="DI65" s="320">
        <f t="shared" si="25"/>
        <v>1</v>
      </c>
      <c r="DJ65" s="320">
        <f t="shared" si="26"/>
        <v>1</v>
      </c>
      <c r="DK65" s="320">
        <f t="shared" si="27"/>
        <v>1</v>
      </c>
      <c r="DL65" s="320">
        <f t="shared" si="28"/>
        <v>1</v>
      </c>
      <c r="DM65" s="320">
        <f t="shared" si="29"/>
        <v>1</v>
      </c>
      <c r="DN65" s="320">
        <f t="shared" si="30"/>
        <v>1</v>
      </c>
      <c r="DO65" s="320">
        <f t="shared" si="31"/>
        <v>1</v>
      </c>
      <c r="DP65" s="320">
        <f t="shared" si="32"/>
        <v>1</v>
      </c>
      <c r="DQ65" s="320">
        <f t="shared" si="33"/>
        <v>1</v>
      </c>
      <c r="DR65" s="320">
        <f t="shared" si="34"/>
        <v>1</v>
      </c>
      <c r="DS65" s="320">
        <f t="shared" si="35"/>
        <v>1</v>
      </c>
      <c r="DT65" s="320">
        <f t="shared" si="36"/>
        <v>1</v>
      </c>
      <c r="DU65" s="320">
        <f t="shared" si="37"/>
        <v>1</v>
      </c>
      <c r="DV65" s="320">
        <f t="shared" si="38"/>
        <v>1</v>
      </c>
      <c r="DW65" s="320">
        <f t="shared" si="39"/>
        <v>1</v>
      </c>
      <c r="DX65" s="320">
        <f t="shared" si="40"/>
        <v>1</v>
      </c>
      <c r="DY65" s="320">
        <f t="shared" si="41"/>
        <v>1</v>
      </c>
      <c r="DZ65" s="320">
        <f t="shared" si="42"/>
        <v>1</v>
      </c>
      <c r="EA65" s="320">
        <f t="shared" si="43"/>
        <v>1</v>
      </c>
      <c r="EB65" s="320">
        <f t="shared" si="44"/>
        <v>1</v>
      </c>
      <c r="EC65" s="320">
        <f t="shared" si="45"/>
        <v>1</v>
      </c>
      <c r="ED65" s="320">
        <f t="shared" si="46"/>
        <v>1</v>
      </c>
      <c r="EE65" s="320">
        <f t="shared" si="47"/>
        <v>1</v>
      </c>
      <c r="EF65" s="320">
        <f t="shared" si="48"/>
        <v>1</v>
      </c>
      <c r="EG65" s="320">
        <f t="shared" si="48"/>
        <v>1</v>
      </c>
      <c r="EH65" s="320">
        <f t="shared" si="48"/>
        <v>1</v>
      </c>
      <c r="EI65" s="320">
        <f t="shared" si="49"/>
        <v>1</v>
      </c>
      <c r="EJ65" s="320">
        <f t="shared" si="50"/>
        <v>1</v>
      </c>
      <c r="EK65" s="321">
        <f t="shared" si="51"/>
        <v>1</v>
      </c>
    </row>
    <row r="66" spans="1:141">
      <c r="A66" s="21">
        <v>45</v>
      </c>
      <c r="B66" s="21">
        <v>50</v>
      </c>
      <c r="C66" s="21">
        <f t="shared" si="97"/>
        <v>47.5</v>
      </c>
      <c r="D66" s="21">
        <f t="shared" si="1"/>
        <v>696</v>
      </c>
      <c r="E66" s="1">
        <f t="shared" si="102"/>
        <v>0.41818181818181799</v>
      </c>
      <c r="F66" s="144">
        <f>cop_47</f>
        <v>3.75</v>
      </c>
      <c r="G66" s="283">
        <f t="shared" si="52"/>
        <v>0.18115942028985507</v>
      </c>
      <c r="H66" s="23">
        <f t="shared" si="3"/>
        <v>8152.173913043478</v>
      </c>
      <c r="I66" s="119">
        <f t="shared" ref="I66:AY66" si="110">HLOOKUP(I$50,loadcorr,152,FALSE)</f>
        <v>10935</v>
      </c>
      <c r="J66" s="120">
        <f t="shared" si="110"/>
        <v>13638.33333333335</v>
      </c>
      <c r="K66" s="120">
        <f t="shared" si="110"/>
        <v>18050.833333333336</v>
      </c>
      <c r="L66" s="120">
        <f t="shared" si="110"/>
        <v>21670.833333333321</v>
      </c>
      <c r="M66" s="120">
        <f t="shared" si="110"/>
        <v>10939.166666666661</v>
      </c>
      <c r="N66" s="120">
        <f t="shared" si="110"/>
        <v>13644.16666666665</v>
      </c>
      <c r="O66" s="120">
        <f t="shared" si="110"/>
        <v>18050</v>
      </c>
      <c r="P66" s="120">
        <f t="shared" si="110"/>
        <v>10935.833333333341</v>
      </c>
      <c r="Q66" s="120">
        <f t="shared" si="110"/>
        <v>14446.66666666665</v>
      </c>
      <c r="R66" s="120">
        <f t="shared" si="110"/>
        <v>18055.833333333339</v>
      </c>
      <c r="S66" s="120">
        <f t="shared" si="110"/>
        <v>21668.333333333318</v>
      </c>
      <c r="T66" s="120">
        <f t="shared" si="110"/>
        <v>27696.666666666701</v>
      </c>
      <c r="U66" s="120">
        <f t="shared" si="110"/>
        <v>14127.5</v>
      </c>
      <c r="V66" s="120">
        <f t="shared" si="110"/>
        <v>18150.833333333336</v>
      </c>
      <c r="W66" s="120">
        <f t="shared" si="110"/>
        <v>20937.5</v>
      </c>
      <c r="X66" s="120">
        <f t="shared" si="110"/>
        <v>25056.666666666701</v>
      </c>
      <c r="Y66" s="120">
        <f t="shared" si="110"/>
        <v>37002.5</v>
      </c>
      <c r="Z66" s="120">
        <f t="shared" si="110"/>
        <v>22054.166666666693</v>
      </c>
      <c r="AA66" s="120">
        <f t="shared" si="110"/>
        <v>25057.083333333299</v>
      </c>
      <c r="AB66" s="120">
        <f t="shared" si="110"/>
        <v>28660.536666666656</v>
      </c>
      <c r="AC66" s="120">
        <f t="shared" si="110"/>
        <v>36088.199999999953</v>
      </c>
      <c r="AD66" s="120">
        <f t="shared" si="110"/>
        <v>45310.739999999918</v>
      </c>
      <c r="AE66" s="120">
        <f t="shared" si="110"/>
        <v>54179.550000000047</v>
      </c>
      <c r="AF66" s="120">
        <f t="shared" si="110"/>
        <v>14700</v>
      </c>
      <c r="AG66" s="120">
        <f t="shared" si="110"/>
        <v>18900</v>
      </c>
      <c r="AH66" s="120">
        <f t="shared" si="110"/>
        <v>22050</v>
      </c>
      <c r="AI66" s="120">
        <f t="shared" si="110"/>
        <v>25200</v>
      </c>
      <c r="AJ66" s="120">
        <f t="shared" si="110"/>
        <v>31500</v>
      </c>
      <c r="AK66" s="120">
        <f t="shared" si="110"/>
        <v>19950</v>
      </c>
      <c r="AL66" s="120">
        <f t="shared" si="110"/>
        <v>23940</v>
      </c>
      <c r="AM66" s="120">
        <f t="shared" si="110"/>
        <v>26250</v>
      </c>
      <c r="AN66" s="120">
        <f t="shared" si="110"/>
        <v>30450</v>
      </c>
      <c r="AO66" s="120">
        <f t="shared" si="110"/>
        <v>23100</v>
      </c>
      <c r="AP66" s="120">
        <f t="shared" si="110"/>
        <v>26250</v>
      </c>
      <c r="AQ66" s="120">
        <f t="shared" si="110"/>
        <v>30030</v>
      </c>
      <c r="AR66" s="120">
        <f t="shared" si="110"/>
        <v>47250</v>
      </c>
      <c r="AS66" s="120">
        <f t="shared" si="110"/>
        <v>50400</v>
      </c>
      <c r="AT66" s="120">
        <f t="shared" si="110"/>
        <v>56700</v>
      </c>
      <c r="AU66" s="120">
        <f t="shared" si="110"/>
        <v>44114.666666666613</v>
      </c>
      <c r="AV66" s="120">
        <f t="shared" si="110"/>
        <v>52109.333333333401</v>
      </c>
      <c r="AW66" s="120">
        <f t="shared" si="110"/>
        <v>66143</v>
      </c>
      <c r="AX66" s="120">
        <f t="shared" si="110"/>
        <v>154560</v>
      </c>
      <c r="AY66" s="304">
        <f t="shared" si="110"/>
        <v>54091.666666666599</v>
      </c>
      <c r="AZ66" s="119">
        <f t="shared" si="55"/>
        <v>2372727.2727272715</v>
      </c>
      <c r="BA66" s="120">
        <f t="shared" si="56"/>
        <v>2372727.2727272715</v>
      </c>
      <c r="BB66" s="120">
        <f t="shared" si="57"/>
        <v>2372727.2727272715</v>
      </c>
      <c r="BC66" s="120">
        <f t="shared" si="58"/>
        <v>2372727.2727272715</v>
      </c>
      <c r="BD66" s="120">
        <f t="shared" si="59"/>
        <v>2372727.2727272715</v>
      </c>
      <c r="BE66" s="120">
        <f t="shared" si="60"/>
        <v>2372727.2727272715</v>
      </c>
      <c r="BF66" s="120">
        <f t="shared" si="61"/>
        <v>2372727.2727272715</v>
      </c>
      <c r="BG66" s="120">
        <f t="shared" si="62"/>
        <v>2372727.2727272715</v>
      </c>
      <c r="BH66" s="120">
        <f t="shared" si="63"/>
        <v>2372727.2727272715</v>
      </c>
      <c r="BI66" s="120">
        <f t="shared" si="64"/>
        <v>2372727.2727272715</v>
      </c>
      <c r="BJ66" s="120">
        <f t="shared" si="65"/>
        <v>2372727.2727272715</v>
      </c>
      <c r="BK66" s="120">
        <f t="shared" si="66"/>
        <v>2372727.2727272715</v>
      </c>
      <c r="BL66" s="120">
        <f t="shared" si="67"/>
        <v>2372727.2727272715</v>
      </c>
      <c r="BM66" s="120">
        <f t="shared" si="68"/>
        <v>2372727.2727272715</v>
      </c>
      <c r="BN66" s="120">
        <f t="shared" si="69"/>
        <v>2372727.2727272715</v>
      </c>
      <c r="BO66" s="120">
        <f t="shared" si="70"/>
        <v>2372727.2727272715</v>
      </c>
      <c r="BP66" s="120">
        <f t="shared" si="71"/>
        <v>2372727.2727272715</v>
      </c>
      <c r="BQ66" s="120">
        <f t="shared" si="72"/>
        <v>2372727.2727272715</v>
      </c>
      <c r="BR66" s="120">
        <f t="shared" si="73"/>
        <v>2372727.2727272715</v>
      </c>
      <c r="BS66" s="120">
        <f t="shared" si="74"/>
        <v>2372727.2727272715</v>
      </c>
      <c r="BT66" s="120">
        <f t="shared" si="75"/>
        <v>2372727.2727272715</v>
      </c>
      <c r="BU66" s="120">
        <f t="shared" si="76"/>
        <v>2372727.2727272715</v>
      </c>
      <c r="BV66" s="120">
        <f t="shared" si="77"/>
        <v>2372727.2727272715</v>
      </c>
      <c r="BW66" s="120">
        <f t="shared" si="78"/>
        <v>2372727.2727272715</v>
      </c>
      <c r="BX66" s="120">
        <f t="shared" si="79"/>
        <v>2372727.2727272715</v>
      </c>
      <c r="BY66" s="120">
        <f t="shared" si="80"/>
        <v>2372727.2727272715</v>
      </c>
      <c r="BZ66" s="120">
        <f t="shared" si="81"/>
        <v>2372727.2727272715</v>
      </c>
      <c r="CA66" s="120">
        <f t="shared" si="82"/>
        <v>2372727.2727272715</v>
      </c>
      <c r="CB66" s="120">
        <f t="shared" si="83"/>
        <v>2372727.2727272715</v>
      </c>
      <c r="CC66" s="120">
        <f t="shared" si="84"/>
        <v>2372727.2727272715</v>
      </c>
      <c r="CD66" s="120">
        <f t="shared" si="85"/>
        <v>2372727.2727272715</v>
      </c>
      <c r="CE66" s="120">
        <f t="shared" si="86"/>
        <v>2372727.2727272715</v>
      </c>
      <c r="CF66" s="120">
        <f t="shared" si="87"/>
        <v>2372727.2727272715</v>
      </c>
      <c r="CG66" s="120">
        <f t="shared" si="88"/>
        <v>2372727.2727272715</v>
      </c>
      <c r="CH66" s="120">
        <f t="shared" si="89"/>
        <v>2372727.2727272715</v>
      </c>
      <c r="CI66" s="120">
        <f t="shared" si="90"/>
        <v>2372727.2727272715</v>
      </c>
      <c r="CJ66" s="120">
        <f t="shared" si="91"/>
        <v>2372727.2727272715</v>
      </c>
      <c r="CK66" s="120">
        <f t="shared" si="92"/>
        <v>2372727.2727272715</v>
      </c>
      <c r="CL66" s="120">
        <f t="shared" si="6"/>
        <v>2372727.2727272715</v>
      </c>
      <c r="CM66" s="120">
        <f t="shared" si="6"/>
        <v>2372727.2727272715</v>
      </c>
      <c r="CN66" s="120">
        <f t="shared" si="6"/>
        <v>2372727.2727272715</v>
      </c>
      <c r="CO66" s="120">
        <f t="shared" si="7"/>
        <v>2372727.2727272715</v>
      </c>
      <c r="CP66" s="120">
        <f t="shared" si="8"/>
        <v>2372727.2727272715</v>
      </c>
      <c r="CQ66" s="120">
        <f t="shared" si="93"/>
        <v>2372727.2727272715</v>
      </c>
      <c r="CR66" s="120">
        <f>SUM(CQ66:CQ80)</f>
        <v>3639130.434782607</v>
      </c>
      <c r="CS66" s="321">
        <f t="shared" si="9"/>
        <v>6.3360654045461096E-2</v>
      </c>
      <c r="CT66" s="319">
        <f t="shared" si="10"/>
        <v>1</v>
      </c>
      <c r="CU66" s="320">
        <f t="shared" si="11"/>
        <v>1</v>
      </c>
      <c r="CV66" s="320">
        <f t="shared" si="12"/>
        <v>1</v>
      </c>
      <c r="CW66" s="320">
        <f t="shared" si="13"/>
        <v>1</v>
      </c>
      <c r="CX66" s="320">
        <f t="shared" si="14"/>
        <v>1</v>
      </c>
      <c r="CY66" s="320">
        <f t="shared" si="15"/>
        <v>1</v>
      </c>
      <c r="CZ66" s="320">
        <f t="shared" si="16"/>
        <v>1</v>
      </c>
      <c r="DA66" s="320">
        <f t="shared" si="17"/>
        <v>1</v>
      </c>
      <c r="DB66" s="320">
        <f t="shared" si="18"/>
        <v>1</v>
      </c>
      <c r="DC66" s="320">
        <f t="shared" si="19"/>
        <v>1</v>
      </c>
      <c r="DD66" s="320">
        <f t="shared" si="20"/>
        <v>1</v>
      </c>
      <c r="DE66" s="320">
        <f t="shared" si="21"/>
        <v>1</v>
      </c>
      <c r="DF66" s="320">
        <f t="shared" si="22"/>
        <v>1</v>
      </c>
      <c r="DG66" s="320">
        <f t="shared" si="23"/>
        <v>1</v>
      </c>
      <c r="DH66" s="320">
        <f t="shared" si="24"/>
        <v>1</v>
      </c>
      <c r="DI66" s="320">
        <f t="shared" si="25"/>
        <v>1</v>
      </c>
      <c r="DJ66" s="320">
        <f t="shared" si="26"/>
        <v>1</v>
      </c>
      <c r="DK66" s="320">
        <f t="shared" si="27"/>
        <v>1</v>
      </c>
      <c r="DL66" s="320">
        <f t="shared" si="28"/>
        <v>1</v>
      </c>
      <c r="DM66" s="320">
        <f t="shared" si="29"/>
        <v>1</v>
      </c>
      <c r="DN66" s="320">
        <f t="shared" si="30"/>
        <v>1</v>
      </c>
      <c r="DO66" s="320">
        <f t="shared" si="31"/>
        <v>1</v>
      </c>
      <c r="DP66" s="320">
        <f t="shared" si="32"/>
        <v>1</v>
      </c>
      <c r="DQ66" s="320">
        <f t="shared" si="33"/>
        <v>1</v>
      </c>
      <c r="DR66" s="320">
        <f t="shared" si="34"/>
        <v>1</v>
      </c>
      <c r="DS66" s="320">
        <f t="shared" si="35"/>
        <v>1</v>
      </c>
      <c r="DT66" s="320">
        <f t="shared" si="36"/>
        <v>1</v>
      </c>
      <c r="DU66" s="320">
        <f t="shared" si="37"/>
        <v>1</v>
      </c>
      <c r="DV66" s="320">
        <f t="shared" si="38"/>
        <v>1</v>
      </c>
      <c r="DW66" s="320">
        <f t="shared" si="39"/>
        <v>1</v>
      </c>
      <c r="DX66" s="320">
        <f t="shared" si="40"/>
        <v>1</v>
      </c>
      <c r="DY66" s="320">
        <f t="shared" si="41"/>
        <v>1</v>
      </c>
      <c r="DZ66" s="320">
        <f t="shared" si="42"/>
        <v>1</v>
      </c>
      <c r="EA66" s="320">
        <f t="shared" si="43"/>
        <v>1</v>
      </c>
      <c r="EB66" s="320">
        <f t="shared" si="44"/>
        <v>1</v>
      </c>
      <c r="EC66" s="320">
        <f t="shared" si="45"/>
        <v>1</v>
      </c>
      <c r="ED66" s="320">
        <f t="shared" si="46"/>
        <v>1</v>
      </c>
      <c r="EE66" s="320">
        <f t="shared" si="47"/>
        <v>1</v>
      </c>
      <c r="EF66" s="320">
        <f t="shared" si="48"/>
        <v>1</v>
      </c>
      <c r="EG66" s="320">
        <f t="shared" si="48"/>
        <v>1</v>
      </c>
      <c r="EH66" s="320">
        <f t="shared" si="48"/>
        <v>1</v>
      </c>
      <c r="EI66" s="320">
        <f t="shared" si="49"/>
        <v>1</v>
      </c>
      <c r="EJ66" s="320">
        <f t="shared" si="50"/>
        <v>1</v>
      </c>
      <c r="EK66" s="321">
        <f t="shared" si="51"/>
        <v>1</v>
      </c>
    </row>
    <row r="67" spans="1:141">
      <c r="A67" s="21">
        <v>50</v>
      </c>
      <c r="B67" s="21">
        <v>55</v>
      </c>
      <c r="C67" s="21">
        <f t="shared" si="97"/>
        <v>52.5</v>
      </c>
      <c r="D67" s="21">
        <f t="shared" si="1"/>
        <v>565</v>
      </c>
      <c r="E67" s="1">
        <f t="shared" si="102"/>
        <v>0.34545454545454524</v>
      </c>
      <c r="F67" s="144">
        <f>F66</f>
        <v>3.75</v>
      </c>
      <c r="G67" s="283">
        <f t="shared" si="52"/>
        <v>0.10869565217391304</v>
      </c>
      <c r="H67" s="23">
        <f t="shared" si="3"/>
        <v>4891.304347826087</v>
      </c>
      <c r="I67" s="119">
        <f t="shared" ref="I67:AY67" si="111">HLOOKUP(I$50,loadcorr,162,FALSE)</f>
        <v>11285</v>
      </c>
      <c r="J67" s="120">
        <f t="shared" si="111"/>
        <v>14021.666666666853</v>
      </c>
      <c r="K67" s="120">
        <f t="shared" si="111"/>
        <v>18559.166666666693</v>
      </c>
      <c r="L67" s="120">
        <f t="shared" si="111"/>
        <v>22379.166666666533</v>
      </c>
      <c r="M67" s="120">
        <f t="shared" si="111"/>
        <v>11330.833333333267</v>
      </c>
      <c r="N67" s="120">
        <f t="shared" si="111"/>
        <v>14085.833333333147</v>
      </c>
      <c r="O67" s="120">
        <f t="shared" si="111"/>
        <v>18550</v>
      </c>
      <c r="P67" s="120">
        <f t="shared" si="111"/>
        <v>11294.166666666753</v>
      </c>
      <c r="Q67" s="120">
        <f t="shared" si="111"/>
        <v>14913.333333333147</v>
      </c>
      <c r="R67" s="120">
        <f t="shared" si="111"/>
        <v>18614.166666666733</v>
      </c>
      <c r="S67" s="120">
        <f t="shared" si="111"/>
        <v>22351.666666666493</v>
      </c>
      <c r="T67" s="120">
        <f t="shared" si="111"/>
        <v>28663.333333333707</v>
      </c>
      <c r="U67" s="120">
        <f t="shared" si="111"/>
        <v>14402.5</v>
      </c>
      <c r="V67" s="120">
        <f t="shared" si="111"/>
        <v>18659.166666666693</v>
      </c>
      <c r="W67" s="120">
        <f t="shared" si="111"/>
        <v>21312.5</v>
      </c>
      <c r="X67" s="120">
        <f t="shared" si="111"/>
        <v>25623.333333333707</v>
      </c>
      <c r="Y67" s="120">
        <f t="shared" si="111"/>
        <v>38027.5</v>
      </c>
      <c r="Z67" s="120">
        <f t="shared" si="111"/>
        <v>22595.833333333627</v>
      </c>
      <c r="AA67" s="120">
        <f t="shared" si="111"/>
        <v>25627.916666666293</v>
      </c>
      <c r="AB67" s="120">
        <f t="shared" si="111"/>
        <v>29265.903333333215</v>
      </c>
      <c r="AC67" s="120">
        <f t="shared" si="111"/>
        <v>36970.199999999488</v>
      </c>
      <c r="AD67" s="120">
        <f t="shared" si="111"/>
        <v>46418.139999999097</v>
      </c>
      <c r="AE67" s="120">
        <f t="shared" si="111"/>
        <v>55975.050000000512</v>
      </c>
      <c r="AF67" s="120">
        <f t="shared" si="111"/>
        <v>21700</v>
      </c>
      <c r="AG67" s="120">
        <f t="shared" si="111"/>
        <v>27900</v>
      </c>
      <c r="AH67" s="120">
        <f t="shared" si="111"/>
        <v>32550</v>
      </c>
      <c r="AI67" s="120">
        <f t="shared" si="111"/>
        <v>37200</v>
      </c>
      <c r="AJ67" s="120">
        <f t="shared" si="111"/>
        <v>46500</v>
      </c>
      <c r="AK67" s="120">
        <f t="shared" si="111"/>
        <v>29450</v>
      </c>
      <c r="AL67" s="120">
        <f t="shared" si="111"/>
        <v>35340</v>
      </c>
      <c r="AM67" s="120">
        <f t="shared" si="111"/>
        <v>38750</v>
      </c>
      <c r="AN67" s="120">
        <f t="shared" si="111"/>
        <v>44950</v>
      </c>
      <c r="AO67" s="120">
        <f t="shared" si="111"/>
        <v>34100</v>
      </c>
      <c r="AP67" s="120">
        <f t="shared" si="111"/>
        <v>38750</v>
      </c>
      <c r="AQ67" s="120">
        <f t="shared" si="111"/>
        <v>44330</v>
      </c>
      <c r="AR67" s="120">
        <f t="shared" si="111"/>
        <v>69750</v>
      </c>
      <c r="AS67" s="120">
        <f t="shared" si="111"/>
        <v>74400</v>
      </c>
      <c r="AT67" s="120">
        <f t="shared" si="111"/>
        <v>83700</v>
      </c>
      <c r="AU67" s="120">
        <f t="shared" si="111"/>
        <v>45261.333333332746</v>
      </c>
      <c r="AV67" s="120">
        <f t="shared" si="111"/>
        <v>53202.666666667414</v>
      </c>
      <c r="AW67" s="120">
        <f t="shared" si="111"/>
        <v>67573</v>
      </c>
      <c r="AX67" s="120">
        <f t="shared" si="111"/>
        <v>228160</v>
      </c>
      <c r="AY67" s="304">
        <f t="shared" si="111"/>
        <v>55008.333333332586</v>
      </c>
      <c r="AZ67" s="119">
        <f t="shared" si="55"/>
        <v>954693.67588932754</v>
      </c>
      <c r="BA67" s="120">
        <f t="shared" si="56"/>
        <v>954693.67588932754</v>
      </c>
      <c r="BB67" s="120">
        <f t="shared" si="57"/>
        <v>954693.67588932754</v>
      </c>
      <c r="BC67" s="120">
        <f t="shared" si="58"/>
        <v>954693.67588932754</v>
      </c>
      <c r="BD67" s="120">
        <f t="shared" si="59"/>
        <v>954693.67588932754</v>
      </c>
      <c r="BE67" s="120">
        <f t="shared" si="60"/>
        <v>954693.67588932754</v>
      </c>
      <c r="BF67" s="120">
        <f t="shared" si="61"/>
        <v>954693.67588932754</v>
      </c>
      <c r="BG67" s="120">
        <f t="shared" si="62"/>
        <v>954693.67588932754</v>
      </c>
      <c r="BH67" s="120">
        <f t="shared" si="63"/>
        <v>954693.67588932754</v>
      </c>
      <c r="BI67" s="120">
        <f t="shared" si="64"/>
        <v>954693.67588932754</v>
      </c>
      <c r="BJ67" s="120">
        <f t="shared" si="65"/>
        <v>954693.67588932754</v>
      </c>
      <c r="BK67" s="120">
        <f t="shared" si="66"/>
        <v>954693.67588932754</v>
      </c>
      <c r="BL67" s="120">
        <f t="shared" si="67"/>
        <v>954693.67588932754</v>
      </c>
      <c r="BM67" s="120">
        <f t="shared" si="68"/>
        <v>954693.67588932754</v>
      </c>
      <c r="BN67" s="120">
        <f t="shared" si="69"/>
        <v>954693.67588932754</v>
      </c>
      <c r="BO67" s="120">
        <f t="shared" si="70"/>
        <v>954693.67588932754</v>
      </c>
      <c r="BP67" s="120">
        <f t="shared" si="71"/>
        <v>954693.67588932754</v>
      </c>
      <c r="BQ67" s="120">
        <f t="shared" si="72"/>
        <v>954693.67588932754</v>
      </c>
      <c r="BR67" s="120">
        <f t="shared" si="73"/>
        <v>954693.67588932754</v>
      </c>
      <c r="BS67" s="120">
        <f t="shared" si="74"/>
        <v>954693.67588932754</v>
      </c>
      <c r="BT67" s="120">
        <f t="shared" si="75"/>
        <v>954693.67588932754</v>
      </c>
      <c r="BU67" s="120">
        <f t="shared" si="76"/>
        <v>954693.67588932754</v>
      </c>
      <c r="BV67" s="120">
        <f t="shared" si="77"/>
        <v>954693.67588932754</v>
      </c>
      <c r="BW67" s="120">
        <f t="shared" si="78"/>
        <v>954693.67588932754</v>
      </c>
      <c r="BX67" s="120">
        <f t="shared" si="79"/>
        <v>954693.67588932754</v>
      </c>
      <c r="BY67" s="120">
        <f t="shared" si="80"/>
        <v>954693.67588932754</v>
      </c>
      <c r="BZ67" s="120">
        <f t="shared" si="81"/>
        <v>954693.67588932754</v>
      </c>
      <c r="CA67" s="120">
        <f t="shared" si="82"/>
        <v>954693.67588932754</v>
      </c>
      <c r="CB67" s="120">
        <f t="shared" si="83"/>
        <v>954693.67588932754</v>
      </c>
      <c r="CC67" s="120">
        <f t="shared" si="84"/>
        <v>954693.67588932754</v>
      </c>
      <c r="CD67" s="120">
        <f t="shared" si="85"/>
        <v>954693.67588932754</v>
      </c>
      <c r="CE67" s="120">
        <f t="shared" si="86"/>
        <v>954693.67588932754</v>
      </c>
      <c r="CF67" s="120">
        <f t="shared" si="87"/>
        <v>954693.67588932754</v>
      </c>
      <c r="CG67" s="120">
        <f t="shared" si="88"/>
        <v>954693.67588932754</v>
      </c>
      <c r="CH67" s="120">
        <f t="shared" si="89"/>
        <v>954693.67588932754</v>
      </c>
      <c r="CI67" s="120">
        <f t="shared" si="90"/>
        <v>954693.67588932754</v>
      </c>
      <c r="CJ67" s="120">
        <f t="shared" si="91"/>
        <v>954693.67588932754</v>
      </c>
      <c r="CK67" s="120">
        <f t="shared" si="92"/>
        <v>954693.67588932754</v>
      </c>
      <c r="CL67" s="120">
        <f t="shared" ref="CL67:CN80" si="112">IF($H67*$D67=0,0,IF(AU67&gt;$H67,$H67*$D67*$E67,AU67*$D67*$E67))</f>
        <v>954693.67588932754</v>
      </c>
      <c r="CM67" s="120">
        <f t="shared" si="112"/>
        <v>954693.67588932754</v>
      </c>
      <c r="CN67" s="120">
        <f t="shared" si="112"/>
        <v>954693.67588932754</v>
      </c>
      <c r="CO67" s="120">
        <f t="shared" si="7"/>
        <v>954693.67588932754</v>
      </c>
      <c r="CP67" s="120">
        <f t="shared" si="8"/>
        <v>954693.67588932754</v>
      </c>
      <c r="CQ67" s="120">
        <f t="shared" si="93"/>
        <v>954693.67588932754</v>
      </c>
      <c r="CR67" s="120">
        <f>SUM(CQ67:CQ80)</f>
        <v>1266403.1620553352</v>
      </c>
      <c r="CS67" s="321">
        <f t="shared" si="9"/>
        <v>2.2049259863327612E-2</v>
      </c>
      <c r="CT67" s="319">
        <f t="shared" si="10"/>
        <v>1</v>
      </c>
      <c r="CU67" s="320">
        <f t="shared" si="11"/>
        <v>1</v>
      </c>
      <c r="CV67" s="320">
        <f t="shared" si="12"/>
        <v>1</v>
      </c>
      <c r="CW67" s="320">
        <f t="shared" si="13"/>
        <v>1</v>
      </c>
      <c r="CX67" s="320">
        <f t="shared" si="14"/>
        <v>1</v>
      </c>
      <c r="CY67" s="320">
        <f t="shared" si="15"/>
        <v>1</v>
      </c>
      <c r="CZ67" s="320">
        <f t="shared" si="16"/>
        <v>1</v>
      </c>
      <c r="DA67" s="320">
        <f t="shared" si="17"/>
        <v>1</v>
      </c>
      <c r="DB67" s="320">
        <f t="shared" si="18"/>
        <v>1</v>
      </c>
      <c r="DC67" s="320">
        <f t="shared" si="19"/>
        <v>1</v>
      </c>
      <c r="DD67" s="320">
        <f t="shared" si="20"/>
        <v>1</v>
      </c>
      <c r="DE67" s="320">
        <f t="shared" si="21"/>
        <v>1</v>
      </c>
      <c r="DF67" s="320">
        <f t="shared" si="22"/>
        <v>1</v>
      </c>
      <c r="DG67" s="320">
        <f t="shared" si="23"/>
        <v>1</v>
      </c>
      <c r="DH67" s="320">
        <f t="shared" si="24"/>
        <v>1</v>
      </c>
      <c r="DI67" s="320">
        <f t="shared" si="25"/>
        <v>1</v>
      </c>
      <c r="DJ67" s="320">
        <f t="shared" si="26"/>
        <v>1</v>
      </c>
      <c r="DK67" s="320">
        <f t="shared" si="27"/>
        <v>1</v>
      </c>
      <c r="DL67" s="320">
        <f t="shared" si="28"/>
        <v>1</v>
      </c>
      <c r="DM67" s="320">
        <f t="shared" si="29"/>
        <v>1</v>
      </c>
      <c r="DN67" s="320">
        <f t="shared" si="30"/>
        <v>1</v>
      </c>
      <c r="DO67" s="320">
        <f t="shared" si="31"/>
        <v>1</v>
      </c>
      <c r="DP67" s="320">
        <f t="shared" si="32"/>
        <v>1</v>
      </c>
      <c r="DQ67" s="320">
        <f t="shared" si="33"/>
        <v>1</v>
      </c>
      <c r="DR67" s="320">
        <f t="shared" si="34"/>
        <v>1</v>
      </c>
      <c r="DS67" s="320">
        <f t="shared" si="35"/>
        <v>1</v>
      </c>
      <c r="DT67" s="320">
        <f t="shared" si="36"/>
        <v>1</v>
      </c>
      <c r="DU67" s="320">
        <f t="shared" si="37"/>
        <v>1</v>
      </c>
      <c r="DV67" s="320">
        <f t="shared" si="38"/>
        <v>1</v>
      </c>
      <c r="DW67" s="320">
        <f t="shared" si="39"/>
        <v>1</v>
      </c>
      <c r="DX67" s="320">
        <f t="shared" si="40"/>
        <v>1</v>
      </c>
      <c r="DY67" s="320">
        <f t="shared" si="41"/>
        <v>1</v>
      </c>
      <c r="DZ67" s="320">
        <f t="shared" si="42"/>
        <v>1</v>
      </c>
      <c r="EA67" s="320">
        <f t="shared" si="43"/>
        <v>1</v>
      </c>
      <c r="EB67" s="320">
        <f t="shared" si="44"/>
        <v>1</v>
      </c>
      <c r="EC67" s="320">
        <f t="shared" si="45"/>
        <v>1</v>
      </c>
      <c r="ED67" s="320">
        <f t="shared" si="46"/>
        <v>1</v>
      </c>
      <c r="EE67" s="320">
        <f t="shared" si="47"/>
        <v>1</v>
      </c>
      <c r="EF67" s="320">
        <f t="shared" ref="EF67:EH80" si="113">IF($CQ67=0,0,CL67/$CQ67)</f>
        <v>1</v>
      </c>
      <c r="EG67" s="320">
        <f t="shared" si="113"/>
        <v>1</v>
      </c>
      <c r="EH67" s="320">
        <f t="shared" si="113"/>
        <v>1</v>
      </c>
      <c r="EI67" s="320">
        <f t="shared" si="49"/>
        <v>1</v>
      </c>
      <c r="EJ67" s="320">
        <f t="shared" si="50"/>
        <v>1</v>
      </c>
      <c r="EK67" s="321">
        <f t="shared" si="51"/>
        <v>1</v>
      </c>
    </row>
    <row r="68" spans="1:141">
      <c r="A68" s="21">
        <v>55</v>
      </c>
      <c r="B68" s="21">
        <v>60</v>
      </c>
      <c r="C68" s="21">
        <f t="shared" si="97"/>
        <v>57.5</v>
      </c>
      <c r="D68" s="21">
        <f t="shared" si="1"/>
        <v>701</v>
      </c>
      <c r="E68" s="1">
        <f t="shared" si="102"/>
        <v>0.27272727272727249</v>
      </c>
      <c r="F68" s="144">
        <f t="shared" ref="F68:F80" si="114">F67</f>
        <v>3.75</v>
      </c>
      <c r="G68" s="283">
        <f t="shared" si="52"/>
        <v>3.6231884057971016E-2</v>
      </c>
      <c r="H68" s="23">
        <f t="shared" si="3"/>
        <v>1630.4347826086957</v>
      </c>
      <c r="I68" s="119">
        <f t="shared" ref="I68:AY68" si="115">HLOOKUP(I$50,loadcorr,172,FALSE)</f>
        <v>11635</v>
      </c>
      <c r="J68" s="120">
        <f t="shared" si="115"/>
        <v>14405.000000000357</v>
      </c>
      <c r="K68" s="120">
        <f t="shared" si="115"/>
        <v>19067.500000000051</v>
      </c>
      <c r="L68" s="120">
        <f t="shared" si="115"/>
        <v>23087.499999999745</v>
      </c>
      <c r="M68" s="120">
        <f t="shared" si="115"/>
        <v>11722.499999999873</v>
      </c>
      <c r="N68" s="120">
        <f t="shared" si="115"/>
        <v>14527.499999999643</v>
      </c>
      <c r="O68" s="120">
        <f t="shared" si="115"/>
        <v>19050</v>
      </c>
      <c r="P68" s="120">
        <f t="shared" si="115"/>
        <v>11652.500000000166</v>
      </c>
      <c r="Q68" s="120">
        <f t="shared" si="115"/>
        <v>15379.999999999643</v>
      </c>
      <c r="R68" s="120">
        <f t="shared" si="115"/>
        <v>19172.500000000127</v>
      </c>
      <c r="S68" s="120">
        <f t="shared" si="115"/>
        <v>23034.999999999669</v>
      </c>
      <c r="T68" s="120">
        <f t="shared" si="115"/>
        <v>29630.000000000713</v>
      </c>
      <c r="U68" s="120">
        <f t="shared" si="115"/>
        <v>14677.5</v>
      </c>
      <c r="V68" s="120">
        <f t="shared" si="115"/>
        <v>19167.500000000051</v>
      </c>
      <c r="W68" s="120">
        <f t="shared" si="115"/>
        <v>21687.5</v>
      </c>
      <c r="X68" s="120">
        <f t="shared" si="115"/>
        <v>26190.000000000713</v>
      </c>
      <c r="Y68" s="120">
        <f t="shared" si="115"/>
        <v>39052.5</v>
      </c>
      <c r="Z68" s="120">
        <f t="shared" si="115"/>
        <v>23137.50000000056</v>
      </c>
      <c r="AA68" s="120">
        <f t="shared" si="115"/>
        <v>26198.749999999287</v>
      </c>
      <c r="AB68" s="120">
        <f t="shared" si="115"/>
        <v>29871.269999999775</v>
      </c>
      <c r="AC68" s="120">
        <f t="shared" si="115"/>
        <v>37852.199999999022</v>
      </c>
      <c r="AD68" s="120">
        <f t="shared" si="115"/>
        <v>47525.539999998276</v>
      </c>
      <c r="AE68" s="120">
        <f t="shared" si="115"/>
        <v>57770.550000000978</v>
      </c>
      <c r="AF68" s="120">
        <f t="shared" si="115"/>
        <v>28700</v>
      </c>
      <c r="AG68" s="120">
        <f t="shared" si="115"/>
        <v>36900</v>
      </c>
      <c r="AH68" s="120">
        <f t="shared" si="115"/>
        <v>43050</v>
      </c>
      <c r="AI68" s="120">
        <f t="shared" si="115"/>
        <v>49200</v>
      </c>
      <c r="AJ68" s="120">
        <f t="shared" si="115"/>
        <v>61500</v>
      </c>
      <c r="AK68" s="120">
        <f t="shared" si="115"/>
        <v>38950</v>
      </c>
      <c r="AL68" s="120">
        <f t="shared" si="115"/>
        <v>46740</v>
      </c>
      <c r="AM68" s="120">
        <f t="shared" si="115"/>
        <v>51250</v>
      </c>
      <c r="AN68" s="120">
        <f t="shared" si="115"/>
        <v>59450</v>
      </c>
      <c r="AO68" s="120">
        <f t="shared" si="115"/>
        <v>45100</v>
      </c>
      <c r="AP68" s="120">
        <f t="shared" si="115"/>
        <v>51250</v>
      </c>
      <c r="AQ68" s="120">
        <f t="shared" si="115"/>
        <v>58630</v>
      </c>
      <c r="AR68" s="120">
        <f t="shared" si="115"/>
        <v>92250</v>
      </c>
      <c r="AS68" s="120">
        <f t="shared" si="115"/>
        <v>98400</v>
      </c>
      <c r="AT68" s="120">
        <f t="shared" si="115"/>
        <v>110700</v>
      </c>
      <c r="AU68" s="120">
        <f t="shared" si="115"/>
        <v>46407.99999999888</v>
      </c>
      <c r="AV68" s="120">
        <f t="shared" si="115"/>
        <v>54296.000000001426</v>
      </c>
      <c r="AW68" s="120">
        <f t="shared" si="115"/>
        <v>69003</v>
      </c>
      <c r="AX68" s="120">
        <f t="shared" si="115"/>
        <v>301760</v>
      </c>
      <c r="AY68" s="304">
        <f t="shared" si="115"/>
        <v>55924.999999998574</v>
      </c>
      <c r="AZ68" s="119">
        <f t="shared" si="55"/>
        <v>311709.48616600764</v>
      </c>
      <c r="BA68" s="120">
        <f t="shared" si="56"/>
        <v>311709.48616600764</v>
      </c>
      <c r="BB68" s="120">
        <f t="shared" si="57"/>
        <v>311709.48616600764</v>
      </c>
      <c r="BC68" s="120">
        <f t="shared" si="58"/>
        <v>311709.48616600764</v>
      </c>
      <c r="BD68" s="120">
        <f t="shared" si="59"/>
        <v>311709.48616600764</v>
      </c>
      <c r="BE68" s="120">
        <f t="shared" si="60"/>
        <v>311709.48616600764</v>
      </c>
      <c r="BF68" s="120">
        <f t="shared" si="61"/>
        <v>311709.48616600764</v>
      </c>
      <c r="BG68" s="120">
        <f t="shared" si="62"/>
        <v>311709.48616600764</v>
      </c>
      <c r="BH68" s="120">
        <f t="shared" si="63"/>
        <v>311709.48616600764</v>
      </c>
      <c r="BI68" s="120">
        <f t="shared" si="64"/>
        <v>311709.48616600764</v>
      </c>
      <c r="BJ68" s="120">
        <f t="shared" si="65"/>
        <v>311709.48616600764</v>
      </c>
      <c r="BK68" s="120">
        <f t="shared" si="66"/>
        <v>311709.48616600764</v>
      </c>
      <c r="BL68" s="120">
        <f t="shared" si="67"/>
        <v>311709.48616600764</v>
      </c>
      <c r="BM68" s="120">
        <f t="shared" si="68"/>
        <v>311709.48616600764</v>
      </c>
      <c r="BN68" s="120">
        <f t="shared" si="69"/>
        <v>311709.48616600764</v>
      </c>
      <c r="BO68" s="120">
        <f t="shared" si="70"/>
        <v>311709.48616600764</v>
      </c>
      <c r="BP68" s="120">
        <f t="shared" si="71"/>
        <v>311709.48616600764</v>
      </c>
      <c r="BQ68" s="120">
        <f t="shared" si="72"/>
        <v>311709.48616600764</v>
      </c>
      <c r="BR68" s="120">
        <f t="shared" si="73"/>
        <v>311709.48616600764</v>
      </c>
      <c r="BS68" s="120">
        <f t="shared" si="74"/>
        <v>311709.48616600764</v>
      </c>
      <c r="BT68" s="120">
        <f t="shared" si="75"/>
        <v>311709.48616600764</v>
      </c>
      <c r="BU68" s="120">
        <f t="shared" si="76"/>
        <v>311709.48616600764</v>
      </c>
      <c r="BV68" s="120">
        <f t="shared" si="77"/>
        <v>311709.48616600764</v>
      </c>
      <c r="BW68" s="120">
        <f t="shared" si="78"/>
        <v>311709.48616600764</v>
      </c>
      <c r="BX68" s="120">
        <f t="shared" si="79"/>
        <v>311709.48616600764</v>
      </c>
      <c r="BY68" s="120">
        <f t="shared" si="80"/>
        <v>311709.48616600764</v>
      </c>
      <c r="BZ68" s="120">
        <f t="shared" si="81"/>
        <v>311709.48616600764</v>
      </c>
      <c r="CA68" s="120">
        <f t="shared" si="82"/>
        <v>311709.48616600764</v>
      </c>
      <c r="CB68" s="120">
        <f t="shared" si="83"/>
        <v>311709.48616600764</v>
      </c>
      <c r="CC68" s="120">
        <f t="shared" si="84"/>
        <v>311709.48616600764</v>
      </c>
      <c r="CD68" s="120">
        <f t="shared" si="85"/>
        <v>311709.48616600764</v>
      </c>
      <c r="CE68" s="120">
        <f t="shared" si="86"/>
        <v>311709.48616600764</v>
      </c>
      <c r="CF68" s="120">
        <f t="shared" si="87"/>
        <v>311709.48616600764</v>
      </c>
      <c r="CG68" s="120">
        <f t="shared" si="88"/>
        <v>311709.48616600764</v>
      </c>
      <c r="CH68" s="120">
        <f t="shared" si="89"/>
        <v>311709.48616600764</v>
      </c>
      <c r="CI68" s="120">
        <f t="shared" si="90"/>
        <v>311709.48616600764</v>
      </c>
      <c r="CJ68" s="120">
        <f t="shared" si="91"/>
        <v>311709.48616600764</v>
      </c>
      <c r="CK68" s="120">
        <f t="shared" si="92"/>
        <v>311709.48616600764</v>
      </c>
      <c r="CL68" s="120">
        <f t="shared" si="112"/>
        <v>311709.48616600764</v>
      </c>
      <c r="CM68" s="120">
        <f t="shared" si="112"/>
        <v>311709.48616600764</v>
      </c>
      <c r="CN68" s="120">
        <f t="shared" si="112"/>
        <v>311709.48616600764</v>
      </c>
      <c r="CO68" s="120">
        <f t="shared" si="7"/>
        <v>311709.48616600764</v>
      </c>
      <c r="CP68" s="120">
        <f t="shared" si="8"/>
        <v>311709.48616600764</v>
      </c>
      <c r="CQ68" s="120">
        <f t="shared" si="93"/>
        <v>311709.48616600764</v>
      </c>
      <c r="CR68" s="120">
        <f>SUM(CQ68:CQ80)</f>
        <v>311709.48616600764</v>
      </c>
      <c r="CS68" s="321">
        <f t="shared" si="9"/>
        <v>5.4271527964159594E-3</v>
      </c>
      <c r="CT68" s="319">
        <f t="shared" si="10"/>
        <v>1</v>
      </c>
      <c r="CU68" s="320">
        <f t="shared" si="11"/>
        <v>1</v>
      </c>
      <c r="CV68" s="320">
        <f t="shared" si="12"/>
        <v>1</v>
      </c>
      <c r="CW68" s="320">
        <f t="shared" si="13"/>
        <v>1</v>
      </c>
      <c r="CX68" s="320">
        <f t="shared" si="14"/>
        <v>1</v>
      </c>
      <c r="CY68" s="320">
        <f t="shared" si="15"/>
        <v>1</v>
      </c>
      <c r="CZ68" s="320">
        <f t="shared" si="16"/>
        <v>1</v>
      </c>
      <c r="DA68" s="320">
        <f t="shared" si="17"/>
        <v>1</v>
      </c>
      <c r="DB68" s="320">
        <f t="shared" si="18"/>
        <v>1</v>
      </c>
      <c r="DC68" s="320">
        <f t="shared" si="19"/>
        <v>1</v>
      </c>
      <c r="DD68" s="320">
        <f t="shared" si="20"/>
        <v>1</v>
      </c>
      <c r="DE68" s="320">
        <f t="shared" si="21"/>
        <v>1</v>
      </c>
      <c r="DF68" s="320">
        <f t="shared" si="22"/>
        <v>1</v>
      </c>
      <c r="DG68" s="320">
        <f t="shared" si="23"/>
        <v>1</v>
      </c>
      <c r="DH68" s="320">
        <f t="shared" si="24"/>
        <v>1</v>
      </c>
      <c r="DI68" s="320">
        <f t="shared" si="25"/>
        <v>1</v>
      </c>
      <c r="DJ68" s="320">
        <f t="shared" si="26"/>
        <v>1</v>
      </c>
      <c r="DK68" s="320">
        <f t="shared" si="27"/>
        <v>1</v>
      </c>
      <c r="DL68" s="320">
        <f t="shared" si="28"/>
        <v>1</v>
      </c>
      <c r="DM68" s="320">
        <f t="shared" si="29"/>
        <v>1</v>
      </c>
      <c r="DN68" s="320">
        <f t="shared" si="30"/>
        <v>1</v>
      </c>
      <c r="DO68" s="320">
        <f t="shared" si="31"/>
        <v>1</v>
      </c>
      <c r="DP68" s="320">
        <f t="shared" si="32"/>
        <v>1</v>
      </c>
      <c r="DQ68" s="320">
        <f t="shared" si="33"/>
        <v>1</v>
      </c>
      <c r="DR68" s="320">
        <f t="shared" si="34"/>
        <v>1</v>
      </c>
      <c r="DS68" s="320">
        <f t="shared" si="35"/>
        <v>1</v>
      </c>
      <c r="DT68" s="320">
        <f t="shared" si="36"/>
        <v>1</v>
      </c>
      <c r="DU68" s="320">
        <f t="shared" si="37"/>
        <v>1</v>
      </c>
      <c r="DV68" s="320">
        <f t="shared" si="38"/>
        <v>1</v>
      </c>
      <c r="DW68" s="320">
        <f t="shared" si="39"/>
        <v>1</v>
      </c>
      <c r="DX68" s="320">
        <f t="shared" si="40"/>
        <v>1</v>
      </c>
      <c r="DY68" s="320">
        <f t="shared" si="41"/>
        <v>1</v>
      </c>
      <c r="DZ68" s="320">
        <f t="shared" si="42"/>
        <v>1</v>
      </c>
      <c r="EA68" s="320">
        <f t="shared" si="43"/>
        <v>1</v>
      </c>
      <c r="EB68" s="320">
        <f t="shared" si="44"/>
        <v>1</v>
      </c>
      <c r="EC68" s="320">
        <f t="shared" si="45"/>
        <v>1</v>
      </c>
      <c r="ED68" s="320">
        <f t="shared" si="46"/>
        <v>1</v>
      </c>
      <c r="EE68" s="320">
        <f t="shared" si="47"/>
        <v>1</v>
      </c>
      <c r="EF68" s="320">
        <f t="shared" si="113"/>
        <v>1</v>
      </c>
      <c r="EG68" s="320">
        <f t="shared" si="113"/>
        <v>1</v>
      </c>
      <c r="EH68" s="320">
        <f t="shared" si="113"/>
        <v>1</v>
      </c>
      <c r="EI68" s="320">
        <f t="shared" si="49"/>
        <v>1</v>
      </c>
      <c r="EJ68" s="320">
        <f t="shared" si="50"/>
        <v>1</v>
      </c>
      <c r="EK68" s="321">
        <f t="shared" si="51"/>
        <v>1</v>
      </c>
    </row>
    <row r="69" spans="1:141">
      <c r="A69" s="21">
        <v>60</v>
      </c>
      <c r="B69" s="21">
        <v>65</v>
      </c>
      <c r="C69" s="21">
        <f t="shared" si="97"/>
        <v>62.5</v>
      </c>
      <c r="D69" s="21">
        <f t="shared" si="1"/>
        <v>991</v>
      </c>
      <c r="E69" s="184">
        <v>0.2</v>
      </c>
      <c r="F69" s="144">
        <f t="shared" si="114"/>
        <v>3.75</v>
      </c>
      <c r="G69" s="283">
        <f t="shared" si="52"/>
        <v>0</v>
      </c>
      <c r="H69" s="23">
        <f t="shared" si="3"/>
        <v>0</v>
      </c>
      <c r="I69" s="119">
        <f t="shared" ref="I69:AY69" si="116">HLOOKUP(I$50,loadcorr,182,FALSE)</f>
        <v>11985</v>
      </c>
      <c r="J69" s="120">
        <f t="shared" si="116"/>
        <v>14788.33333333386</v>
      </c>
      <c r="K69" s="120">
        <f t="shared" si="116"/>
        <v>19575.833333333409</v>
      </c>
      <c r="L69" s="120">
        <f t="shared" si="116"/>
        <v>23795.833333332957</v>
      </c>
      <c r="M69" s="120">
        <f t="shared" si="116"/>
        <v>12114.166666666479</v>
      </c>
      <c r="N69" s="120">
        <f t="shared" si="116"/>
        <v>14969.16666666614</v>
      </c>
      <c r="O69" s="120">
        <f t="shared" si="116"/>
        <v>19550</v>
      </c>
      <c r="P69" s="120">
        <f t="shared" si="116"/>
        <v>12010.833333333578</v>
      </c>
      <c r="Q69" s="120">
        <f t="shared" si="116"/>
        <v>15846.66666666614</v>
      </c>
      <c r="R69" s="120">
        <f t="shared" si="116"/>
        <v>19730.833333333521</v>
      </c>
      <c r="S69" s="120">
        <f t="shared" si="116"/>
        <v>23718.333333332845</v>
      </c>
      <c r="T69" s="120">
        <f t="shared" si="116"/>
        <v>30596.666666667719</v>
      </c>
      <c r="U69" s="120">
        <f t="shared" si="116"/>
        <v>14952.5</v>
      </c>
      <c r="V69" s="120">
        <f t="shared" si="116"/>
        <v>19675.833333333409</v>
      </c>
      <c r="W69" s="120">
        <f t="shared" si="116"/>
        <v>22062.5</v>
      </c>
      <c r="X69" s="120">
        <f t="shared" si="116"/>
        <v>26756.666666667719</v>
      </c>
      <c r="Y69" s="120">
        <f t="shared" si="116"/>
        <v>40077.5</v>
      </c>
      <c r="Z69" s="120">
        <f t="shared" si="116"/>
        <v>23679.166666667494</v>
      </c>
      <c r="AA69" s="120">
        <f t="shared" si="116"/>
        <v>26769.583333332281</v>
      </c>
      <c r="AB69" s="120">
        <f t="shared" si="116"/>
        <v>30476.636666666334</v>
      </c>
      <c r="AC69" s="120">
        <f t="shared" si="116"/>
        <v>38734.199999998556</v>
      </c>
      <c r="AD69" s="120">
        <f t="shared" si="116"/>
        <v>48632.939999997456</v>
      </c>
      <c r="AE69" s="120">
        <f t="shared" si="116"/>
        <v>59566.050000001444</v>
      </c>
      <c r="AF69" s="120">
        <f t="shared" si="116"/>
        <v>35700</v>
      </c>
      <c r="AG69" s="120">
        <f t="shared" si="116"/>
        <v>45900</v>
      </c>
      <c r="AH69" s="120">
        <f t="shared" si="116"/>
        <v>53550</v>
      </c>
      <c r="AI69" s="120">
        <f t="shared" si="116"/>
        <v>61200</v>
      </c>
      <c r="AJ69" s="120">
        <f t="shared" si="116"/>
        <v>76500</v>
      </c>
      <c r="AK69" s="120">
        <f t="shared" si="116"/>
        <v>48450</v>
      </c>
      <c r="AL69" s="120">
        <f t="shared" si="116"/>
        <v>58140</v>
      </c>
      <c r="AM69" s="120">
        <f t="shared" si="116"/>
        <v>63750</v>
      </c>
      <c r="AN69" s="120">
        <f t="shared" si="116"/>
        <v>73950</v>
      </c>
      <c r="AO69" s="120">
        <f t="shared" si="116"/>
        <v>56100</v>
      </c>
      <c r="AP69" s="120">
        <f t="shared" si="116"/>
        <v>63750</v>
      </c>
      <c r="AQ69" s="120">
        <f t="shared" si="116"/>
        <v>72930</v>
      </c>
      <c r="AR69" s="120">
        <f t="shared" si="116"/>
        <v>114750</v>
      </c>
      <c r="AS69" s="120">
        <f t="shared" si="116"/>
        <v>122400</v>
      </c>
      <c r="AT69" s="120">
        <f t="shared" si="116"/>
        <v>137700</v>
      </c>
      <c r="AU69" s="120">
        <f t="shared" si="116"/>
        <v>47554.666666665013</v>
      </c>
      <c r="AV69" s="120">
        <f t="shared" si="116"/>
        <v>55389.333333335439</v>
      </c>
      <c r="AW69" s="120">
        <f t="shared" si="116"/>
        <v>70433</v>
      </c>
      <c r="AX69" s="120">
        <f t="shared" si="116"/>
        <v>375360</v>
      </c>
      <c r="AY69" s="304">
        <f t="shared" si="116"/>
        <v>56841.666666664561</v>
      </c>
      <c r="AZ69" s="119">
        <f t="shared" si="55"/>
        <v>0</v>
      </c>
      <c r="BA69" s="120">
        <f t="shared" si="56"/>
        <v>0</v>
      </c>
      <c r="BB69" s="120">
        <f t="shared" si="57"/>
        <v>0</v>
      </c>
      <c r="BC69" s="120">
        <f t="shared" si="58"/>
        <v>0</v>
      </c>
      <c r="BD69" s="120">
        <f t="shared" si="59"/>
        <v>0</v>
      </c>
      <c r="BE69" s="120">
        <f t="shared" si="60"/>
        <v>0</v>
      </c>
      <c r="BF69" s="120">
        <f t="shared" si="61"/>
        <v>0</v>
      </c>
      <c r="BG69" s="120">
        <f t="shared" si="62"/>
        <v>0</v>
      </c>
      <c r="BH69" s="120">
        <f t="shared" si="63"/>
        <v>0</v>
      </c>
      <c r="BI69" s="120">
        <f t="shared" si="64"/>
        <v>0</v>
      </c>
      <c r="BJ69" s="120">
        <f t="shared" si="65"/>
        <v>0</v>
      </c>
      <c r="BK69" s="120">
        <f t="shared" si="66"/>
        <v>0</v>
      </c>
      <c r="BL69" s="120">
        <f t="shared" si="67"/>
        <v>0</v>
      </c>
      <c r="BM69" s="120">
        <f t="shared" si="68"/>
        <v>0</v>
      </c>
      <c r="BN69" s="120">
        <f t="shared" si="69"/>
        <v>0</v>
      </c>
      <c r="BO69" s="120">
        <f t="shared" si="70"/>
        <v>0</v>
      </c>
      <c r="BP69" s="120">
        <f t="shared" si="71"/>
        <v>0</v>
      </c>
      <c r="BQ69" s="120">
        <f t="shared" si="72"/>
        <v>0</v>
      </c>
      <c r="BR69" s="120">
        <f t="shared" si="73"/>
        <v>0</v>
      </c>
      <c r="BS69" s="120">
        <f t="shared" si="74"/>
        <v>0</v>
      </c>
      <c r="BT69" s="120">
        <f t="shared" si="75"/>
        <v>0</v>
      </c>
      <c r="BU69" s="120">
        <f t="shared" si="76"/>
        <v>0</v>
      </c>
      <c r="BV69" s="120">
        <f t="shared" si="77"/>
        <v>0</v>
      </c>
      <c r="BW69" s="120">
        <f t="shared" si="78"/>
        <v>0</v>
      </c>
      <c r="BX69" s="120">
        <f t="shared" si="79"/>
        <v>0</v>
      </c>
      <c r="BY69" s="120">
        <f t="shared" si="80"/>
        <v>0</v>
      </c>
      <c r="BZ69" s="120">
        <f t="shared" si="81"/>
        <v>0</v>
      </c>
      <c r="CA69" s="120">
        <f t="shared" si="82"/>
        <v>0</v>
      </c>
      <c r="CB69" s="120">
        <f t="shared" si="83"/>
        <v>0</v>
      </c>
      <c r="CC69" s="120">
        <f t="shared" si="84"/>
        <v>0</v>
      </c>
      <c r="CD69" s="120">
        <f t="shared" si="85"/>
        <v>0</v>
      </c>
      <c r="CE69" s="120">
        <f t="shared" si="86"/>
        <v>0</v>
      </c>
      <c r="CF69" s="120">
        <f t="shared" si="87"/>
        <v>0</v>
      </c>
      <c r="CG69" s="120">
        <f t="shared" si="88"/>
        <v>0</v>
      </c>
      <c r="CH69" s="120">
        <f t="shared" si="89"/>
        <v>0</v>
      </c>
      <c r="CI69" s="120">
        <f t="shared" si="90"/>
        <v>0</v>
      </c>
      <c r="CJ69" s="120">
        <f t="shared" si="91"/>
        <v>0</v>
      </c>
      <c r="CK69" s="120">
        <f t="shared" si="92"/>
        <v>0</v>
      </c>
      <c r="CL69" s="120">
        <f t="shared" si="112"/>
        <v>0</v>
      </c>
      <c r="CM69" s="120">
        <f t="shared" si="112"/>
        <v>0</v>
      </c>
      <c r="CN69" s="120">
        <f t="shared" si="112"/>
        <v>0</v>
      </c>
      <c r="CO69" s="120">
        <f t="shared" si="7"/>
        <v>0</v>
      </c>
      <c r="CP69" s="120">
        <f t="shared" si="8"/>
        <v>0</v>
      </c>
      <c r="CQ69" s="120">
        <f t="shared" si="93"/>
        <v>0</v>
      </c>
      <c r="CR69" s="120">
        <f>SUM(CQ69:CQ80)</f>
        <v>0</v>
      </c>
      <c r="CS69" s="321">
        <f t="shared" si="9"/>
        <v>0</v>
      </c>
      <c r="CT69" s="319">
        <f t="shared" si="10"/>
        <v>0</v>
      </c>
      <c r="CU69" s="320">
        <f t="shared" si="11"/>
        <v>0</v>
      </c>
      <c r="CV69" s="320">
        <f t="shared" si="12"/>
        <v>0</v>
      </c>
      <c r="CW69" s="320">
        <f t="shared" si="13"/>
        <v>0</v>
      </c>
      <c r="CX69" s="320">
        <f t="shared" si="14"/>
        <v>0</v>
      </c>
      <c r="CY69" s="320">
        <f t="shared" si="15"/>
        <v>0</v>
      </c>
      <c r="CZ69" s="320">
        <f t="shared" si="16"/>
        <v>0</v>
      </c>
      <c r="DA69" s="320">
        <f t="shared" si="17"/>
        <v>0</v>
      </c>
      <c r="DB69" s="320">
        <f t="shared" si="18"/>
        <v>0</v>
      </c>
      <c r="DC69" s="320">
        <f t="shared" si="19"/>
        <v>0</v>
      </c>
      <c r="DD69" s="320">
        <f t="shared" si="20"/>
        <v>0</v>
      </c>
      <c r="DE69" s="320">
        <f t="shared" si="21"/>
        <v>0</v>
      </c>
      <c r="DF69" s="320">
        <f t="shared" si="22"/>
        <v>0</v>
      </c>
      <c r="DG69" s="320">
        <f t="shared" si="23"/>
        <v>0</v>
      </c>
      <c r="DH69" s="320">
        <f t="shared" si="24"/>
        <v>0</v>
      </c>
      <c r="DI69" s="320">
        <f t="shared" si="25"/>
        <v>0</v>
      </c>
      <c r="DJ69" s="320">
        <f t="shared" si="26"/>
        <v>0</v>
      </c>
      <c r="DK69" s="320">
        <f t="shared" si="27"/>
        <v>0</v>
      </c>
      <c r="DL69" s="320">
        <f t="shared" si="28"/>
        <v>0</v>
      </c>
      <c r="DM69" s="320">
        <f t="shared" si="29"/>
        <v>0</v>
      </c>
      <c r="DN69" s="320">
        <f t="shared" si="30"/>
        <v>0</v>
      </c>
      <c r="DO69" s="320">
        <f t="shared" si="31"/>
        <v>0</v>
      </c>
      <c r="DP69" s="320">
        <f t="shared" si="32"/>
        <v>0</v>
      </c>
      <c r="DQ69" s="320">
        <f t="shared" si="33"/>
        <v>0</v>
      </c>
      <c r="DR69" s="320">
        <f t="shared" si="34"/>
        <v>0</v>
      </c>
      <c r="DS69" s="320">
        <f t="shared" si="35"/>
        <v>0</v>
      </c>
      <c r="DT69" s="320">
        <f t="shared" si="36"/>
        <v>0</v>
      </c>
      <c r="DU69" s="320">
        <f t="shared" si="37"/>
        <v>0</v>
      </c>
      <c r="DV69" s="320">
        <f t="shared" si="38"/>
        <v>0</v>
      </c>
      <c r="DW69" s="320">
        <f t="shared" si="39"/>
        <v>0</v>
      </c>
      <c r="DX69" s="320">
        <f t="shared" si="40"/>
        <v>0</v>
      </c>
      <c r="DY69" s="320">
        <f t="shared" si="41"/>
        <v>0</v>
      </c>
      <c r="DZ69" s="320">
        <f t="shared" si="42"/>
        <v>0</v>
      </c>
      <c r="EA69" s="320">
        <f t="shared" si="43"/>
        <v>0</v>
      </c>
      <c r="EB69" s="320">
        <f t="shared" si="44"/>
        <v>0</v>
      </c>
      <c r="EC69" s="320">
        <f t="shared" si="45"/>
        <v>0</v>
      </c>
      <c r="ED69" s="320">
        <f t="shared" si="46"/>
        <v>0</v>
      </c>
      <c r="EE69" s="320">
        <f t="shared" si="47"/>
        <v>0</v>
      </c>
      <c r="EF69" s="320">
        <f t="shared" si="113"/>
        <v>0</v>
      </c>
      <c r="EG69" s="320">
        <f t="shared" si="113"/>
        <v>0</v>
      </c>
      <c r="EH69" s="320">
        <f t="shared" si="113"/>
        <v>0</v>
      </c>
      <c r="EI69" s="320">
        <f t="shared" si="49"/>
        <v>0</v>
      </c>
      <c r="EJ69" s="320">
        <f t="shared" si="50"/>
        <v>0</v>
      </c>
      <c r="EK69" s="321">
        <f t="shared" si="51"/>
        <v>0</v>
      </c>
    </row>
    <row r="70" spans="1:141">
      <c r="A70" s="21">
        <v>65</v>
      </c>
      <c r="B70" s="21">
        <v>70</v>
      </c>
      <c r="C70" s="21">
        <f t="shared" si="97"/>
        <v>67.5</v>
      </c>
      <c r="D70" s="21">
        <f t="shared" si="1"/>
        <v>735</v>
      </c>
      <c r="E70" s="28">
        <v>0</v>
      </c>
      <c r="F70" s="144">
        <f t="shared" si="114"/>
        <v>3.75</v>
      </c>
      <c r="G70" s="283">
        <f t="shared" si="52"/>
        <v>0</v>
      </c>
      <c r="H70" s="23">
        <f t="shared" si="3"/>
        <v>0</v>
      </c>
      <c r="I70" s="119">
        <f t="shared" ref="I70:AY70" si="117">HLOOKUP(I$50,loadcorr,192,FALSE)</f>
        <v>12335</v>
      </c>
      <c r="J70" s="120">
        <f t="shared" si="117"/>
        <v>15171.666666667363</v>
      </c>
      <c r="K70" s="120">
        <f t="shared" si="117"/>
        <v>20084.166666666766</v>
      </c>
      <c r="L70" s="120">
        <f t="shared" si="117"/>
        <v>24504.166666666169</v>
      </c>
      <c r="M70" s="120">
        <f t="shared" si="117"/>
        <v>12505.833333333085</v>
      </c>
      <c r="N70" s="120">
        <f t="shared" si="117"/>
        <v>15410.833333332637</v>
      </c>
      <c r="O70" s="120">
        <f t="shared" si="117"/>
        <v>20050</v>
      </c>
      <c r="P70" s="120">
        <f t="shared" si="117"/>
        <v>12369.16666666699</v>
      </c>
      <c r="Q70" s="120">
        <f t="shared" si="117"/>
        <v>16313.333333332637</v>
      </c>
      <c r="R70" s="120">
        <f t="shared" si="117"/>
        <v>20289.166666666915</v>
      </c>
      <c r="S70" s="120">
        <f t="shared" si="117"/>
        <v>24401.66666666602</v>
      </c>
      <c r="T70" s="120">
        <f t="shared" si="117"/>
        <v>31563.333333334725</v>
      </c>
      <c r="U70" s="120">
        <f t="shared" si="117"/>
        <v>15227.5</v>
      </c>
      <c r="V70" s="120">
        <f t="shared" si="117"/>
        <v>20184.166666666766</v>
      </c>
      <c r="W70" s="120">
        <f t="shared" si="117"/>
        <v>22437.5</v>
      </c>
      <c r="X70" s="120">
        <f t="shared" si="117"/>
        <v>27323.333333334725</v>
      </c>
      <c r="Y70" s="120">
        <f t="shared" si="117"/>
        <v>41102.5</v>
      </c>
      <c r="Z70" s="120">
        <f t="shared" si="117"/>
        <v>24220.833333334427</v>
      </c>
      <c r="AA70" s="120">
        <f t="shared" si="117"/>
        <v>27340.416666665275</v>
      </c>
      <c r="AB70" s="120">
        <f t="shared" si="117"/>
        <v>31082.003333332894</v>
      </c>
      <c r="AC70" s="120">
        <f t="shared" si="117"/>
        <v>39616.199999998091</v>
      </c>
      <c r="AD70" s="120">
        <f t="shared" si="117"/>
        <v>49740.339999996635</v>
      </c>
      <c r="AE70" s="120">
        <f t="shared" si="117"/>
        <v>61361.550000001909</v>
      </c>
      <c r="AF70" s="120">
        <f t="shared" si="117"/>
        <v>42700</v>
      </c>
      <c r="AG70" s="120">
        <f t="shared" si="117"/>
        <v>54900</v>
      </c>
      <c r="AH70" s="120">
        <f t="shared" si="117"/>
        <v>64050</v>
      </c>
      <c r="AI70" s="120">
        <f t="shared" si="117"/>
        <v>73200</v>
      </c>
      <c r="AJ70" s="120">
        <f t="shared" si="117"/>
        <v>91500</v>
      </c>
      <c r="AK70" s="120">
        <f t="shared" si="117"/>
        <v>57950</v>
      </c>
      <c r="AL70" s="120">
        <f t="shared" si="117"/>
        <v>69540</v>
      </c>
      <c r="AM70" s="120">
        <f t="shared" si="117"/>
        <v>76250</v>
      </c>
      <c r="AN70" s="120">
        <f t="shared" si="117"/>
        <v>88450</v>
      </c>
      <c r="AO70" s="120">
        <f t="shared" si="117"/>
        <v>67100</v>
      </c>
      <c r="AP70" s="120">
        <f t="shared" si="117"/>
        <v>76250</v>
      </c>
      <c r="AQ70" s="120">
        <f t="shared" si="117"/>
        <v>87230</v>
      </c>
      <c r="AR70" s="120">
        <f t="shared" si="117"/>
        <v>137250</v>
      </c>
      <c r="AS70" s="120">
        <f t="shared" si="117"/>
        <v>146400</v>
      </c>
      <c r="AT70" s="120">
        <f t="shared" si="117"/>
        <v>164700</v>
      </c>
      <c r="AU70" s="120">
        <f t="shared" si="117"/>
        <v>48701.333333331146</v>
      </c>
      <c r="AV70" s="120">
        <f t="shared" si="117"/>
        <v>56482.666666669451</v>
      </c>
      <c r="AW70" s="120">
        <f t="shared" si="117"/>
        <v>71863</v>
      </c>
      <c r="AX70" s="120">
        <f t="shared" si="117"/>
        <v>448960</v>
      </c>
      <c r="AY70" s="304">
        <f t="shared" si="117"/>
        <v>57758.333333330549</v>
      </c>
      <c r="AZ70" s="119">
        <f t="shared" si="55"/>
        <v>0</v>
      </c>
      <c r="BA70" s="120">
        <f t="shared" si="56"/>
        <v>0</v>
      </c>
      <c r="BB70" s="120">
        <f t="shared" si="57"/>
        <v>0</v>
      </c>
      <c r="BC70" s="120">
        <f t="shared" si="58"/>
        <v>0</v>
      </c>
      <c r="BD70" s="120">
        <f t="shared" si="59"/>
        <v>0</v>
      </c>
      <c r="BE70" s="120">
        <f t="shared" si="60"/>
        <v>0</v>
      </c>
      <c r="BF70" s="120">
        <f t="shared" si="61"/>
        <v>0</v>
      </c>
      <c r="BG70" s="120">
        <f t="shared" si="62"/>
        <v>0</v>
      </c>
      <c r="BH70" s="120">
        <f t="shared" si="63"/>
        <v>0</v>
      </c>
      <c r="BI70" s="120">
        <f t="shared" si="64"/>
        <v>0</v>
      </c>
      <c r="BJ70" s="120">
        <f t="shared" si="65"/>
        <v>0</v>
      </c>
      <c r="BK70" s="120">
        <f t="shared" si="66"/>
        <v>0</v>
      </c>
      <c r="BL70" s="120">
        <f t="shared" si="67"/>
        <v>0</v>
      </c>
      <c r="BM70" s="120">
        <f t="shared" si="68"/>
        <v>0</v>
      </c>
      <c r="BN70" s="120">
        <f t="shared" si="69"/>
        <v>0</v>
      </c>
      <c r="BO70" s="120">
        <f t="shared" si="70"/>
        <v>0</v>
      </c>
      <c r="BP70" s="120">
        <f t="shared" si="71"/>
        <v>0</v>
      </c>
      <c r="BQ70" s="120">
        <f t="shared" si="72"/>
        <v>0</v>
      </c>
      <c r="BR70" s="120">
        <f t="shared" si="73"/>
        <v>0</v>
      </c>
      <c r="BS70" s="120">
        <f t="shared" si="74"/>
        <v>0</v>
      </c>
      <c r="BT70" s="120">
        <f t="shared" si="75"/>
        <v>0</v>
      </c>
      <c r="BU70" s="120">
        <f t="shared" si="76"/>
        <v>0</v>
      </c>
      <c r="BV70" s="120">
        <f t="shared" si="77"/>
        <v>0</v>
      </c>
      <c r="BW70" s="120">
        <f t="shared" si="78"/>
        <v>0</v>
      </c>
      <c r="BX70" s="120">
        <f t="shared" si="79"/>
        <v>0</v>
      </c>
      <c r="BY70" s="120">
        <f t="shared" si="80"/>
        <v>0</v>
      </c>
      <c r="BZ70" s="120">
        <f t="shared" si="81"/>
        <v>0</v>
      </c>
      <c r="CA70" s="120">
        <f t="shared" si="82"/>
        <v>0</v>
      </c>
      <c r="CB70" s="120">
        <f t="shared" si="83"/>
        <v>0</v>
      </c>
      <c r="CC70" s="120">
        <f t="shared" si="84"/>
        <v>0</v>
      </c>
      <c r="CD70" s="120">
        <f t="shared" si="85"/>
        <v>0</v>
      </c>
      <c r="CE70" s="120">
        <f t="shared" si="86"/>
        <v>0</v>
      </c>
      <c r="CF70" s="120">
        <f t="shared" si="87"/>
        <v>0</v>
      </c>
      <c r="CG70" s="120">
        <f t="shared" si="88"/>
        <v>0</v>
      </c>
      <c r="CH70" s="120">
        <f t="shared" si="89"/>
        <v>0</v>
      </c>
      <c r="CI70" s="120">
        <f t="shared" si="90"/>
        <v>0</v>
      </c>
      <c r="CJ70" s="120">
        <f t="shared" si="91"/>
        <v>0</v>
      </c>
      <c r="CK70" s="120">
        <f t="shared" si="92"/>
        <v>0</v>
      </c>
      <c r="CL70" s="120">
        <f t="shared" si="112"/>
        <v>0</v>
      </c>
      <c r="CM70" s="120">
        <f t="shared" si="112"/>
        <v>0</v>
      </c>
      <c r="CN70" s="120">
        <f t="shared" si="112"/>
        <v>0</v>
      </c>
      <c r="CO70" s="120">
        <f t="shared" si="7"/>
        <v>0</v>
      </c>
      <c r="CP70" s="120">
        <f t="shared" si="8"/>
        <v>0</v>
      </c>
      <c r="CQ70" s="120">
        <f t="shared" si="93"/>
        <v>0</v>
      </c>
      <c r="CR70" s="120">
        <f>SUM(CQ70:CQ80)</f>
        <v>0</v>
      </c>
      <c r="CS70" s="321">
        <f t="shared" si="9"/>
        <v>0</v>
      </c>
      <c r="CT70" s="319">
        <f t="shared" si="10"/>
        <v>0</v>
      </c>
      <c r="CU70" s="320">
        <f t="shared" si="11"/>
        <v>0</v>
      </c>
      <c r="CV70" s="320">
        <f t="shared" si="12"/>
        <v>0</v>
      </c>
      <c r="CW70" s="320">
        <f t="shared" si="13"/>
        <v>0</v>
      </c>
      <c r="CX70" s="320">
        <f t="shared" si="14"/>
        <v>0</v>
      </c>
      <c r="CY70" s="320">
        <f t="shared" si="15"/>
        <v>0</v>
      </c>
      <c r="CZ70" s="320">
        <f t="shared" si="16"/>
        <v>0</v>
      </c>
      <c r="DA70" s="320">
        <f t="shared" si="17"/>
        <v>0</v>
      </c>
      <c r="DB70" s="320">
        <f t="shared" si="18"/>
        <v>0</v>
      </c>
      <c r="DC70" s="320">
        <f t="shared" si="19"/>
        <v>0</v>
      </c>
      <c r="DD70" s="320">
        <f t="shared" si="20"/>
        <v>0</v>
      </c>
      <c r="DE70" s="320">
        <f t="shared" si="21"/>
        <v>0</v>
      </c>
      <c r="DF70" s="320">
        <f t="shared" si="22"/>
        <v>0</v>
      </c>
      <c r="DG70" s="320">
        <f t="shared" si="23"/>
        <v>0</v>
      </c>
      <c r="DH70" s="320">
        <f t="shared" si="24"/>
        <v>0</v>
      </c>
      <c r="DI70" s="320">
        <f t="shared" si="25"/>
        <v>0</v>
      </c>
      <c r="DJ70" s="320">
        <f t="shared" si="26"/>
        <v>0</v>
      </c>
      <c r="DK70" s="320">
        <f t="shared" si="27"/>
        <v>0</v>
      </c>
      <c r="DL70" s="320">
        <f t="shared" si="28"/>
        <v>0</v>
      </c>
      <c r="DM70" s="320">
        <f t="shared" si="29"/>
        <v>0</v>
      </c>
      <c r="DN70" s="320">
        <f t="shared" si="30"/>
        <v>0</v>
      </c>
      <c r="DO70" s="320">
        <f t="shared" si="31"/>
        <v>0</v>
      </c>
      <c r="DP70" s="320">
        <f t="shared" si="32"/>
        <v>0</v>
      </c>
      <c r="DQ70" s="320">
        <f t="shared" si="33"/>
        <v>0</v>
      </c>
      <c r="DR70" s="320">
        <f t="shared" si="34"/>
        <v>0</v>
      </c>
      <c r="DS70" s="320">
        <f t="shared" si="35"/>
        <v>0</v>
      </c>
      <c r="DT70" s="320">
        <f t="shared" si="36"/>
        <v>0</v>
      </c>
      <c r="DU70" s="320">
        <f t="shared" si="37"/>
        <v>0</v>
      </c>
      <c r="DV70" s="320">
        <f t="shared" si="38"/>
        <v>0</v>
      </c>
      <c r="DW70" s="320">
        <f t="shared" si="39"/>
        <v>0</v>
      </c>
      <c r="DX70" s="320">
        <f t="shared" si="40"/>
        <v>0</v>
      </c>
      <c r="DY70" s="320">
        <f t="shared" si="41"/>
        <v>0</v>
      </c>
      <c r="DZ70" s="320">
        <f t="shared" si="42"/>
        <v>0</v>
      </c>
      <c r="EA70" s="320">
        <f t="shared" si="43"/>
        <v>0</v>
      </c>
      <c r="EB70" s="320">
        <f t="shared" si="44"/>
        <v>0</v>
      </c>
      <c r="EC70" s="320">
        <f t="shared" si="45"/>
        <v>0</v>
      </c>
      <c r="ED70" s="320">
        <f t="shared" si="46"/>
        <v>0</v>
      </c>
      <c r="EE70" s="320">
        <f t="shared" si="47"/>
        <v>0</v>
      </c>
      <c r="EF70" s="320">
        <f t="shared" si="113"/>
        <v>0</v>
      </c>
      <c r="EG70" s="320">
        <f t="shared" si="113"/>
        <v>0</v>
      </c>
      <c r="EH70" s="320">
        <f t="shared" si="113"/>
        <v>0</v>
      </c>
      <c r="EI70" s="320">
        <f t="shared" si="49"/>
        <v>0</v>
      </c>
      <c r="EJ70" s="320">
        <f t="shared" si="50"/>
        <v>0</v>
      </c>
      <c r="EK70" s="321">
        <f t="shared" si="51"/>
        <v>0</v>
      </c>
    </row>
    <row r="71" spans="1:141">
      <c r="A71" s="21">
        <v>70</v>
      </c>
      <c r="B71" s="21">
        <v>75</v>
      </c>
      <c r="C71" s="21">
        <f t="shared" si="97"/>
        <v>72.5</v>
      </c>
      <c r="D71" s="21">
        <f t="shared" si="1"/>
        <v>503</v>
      </c>
      <c r="E71" s="28">
        <v>0</v>
      </c>
      <c r="F71" s="144">
        <f t="shared" si="114"/>
        <v>3.75</v>
      </c>
      <c r="G71" s="283">
        <f t="shared" si="52"/>
        <v>0</v>
      </c>
      <c r="H71" s="23">
        <f t="shared" si="3"/>
        <v>0</v>
      </c>
      <c r="I71" s="125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129"/>
      <c r="AZ71" s="119">
        <f t="shared" si="55"/>
        <v>0</v>
      </c>
      <c r="BA71" s="120">
        <f t="shared" si="56"/>
        <v>0</v>
      </c>
      <c r="BB71" s="120">
        <f t="shared" si="57"/>
        <v>0</v>
      </c>
      <c r="BC71" s="120">
        <f t="shared" si="58"/>
        <v>0</v>
      </c>
      <c r="BD71" s="120">
        <f t="shared" si="59"/>
        <v>0</v>
      </c>
      <c r="BE71" s="120">
        <f t="shared" si="60"/>
        <v>0</v>
      </c>
      <c r="BF71" s="120">
        <f t="shared" si="61"/>
        <v>0</v>
      </c>
      <c r="BG71" s="120">
        <f t="shared" si="62"/>
        <v>0</v>
      </c>
      <c r="BH71" s="120">
        <f t="shared" si="63"/>
        <v>0</v>
      </c>
      <c r="BI71" s="120">
        <f t="shared" si="64"/>
        <v>0</v>
      </c>
      <c r="BJ71" s="120">
        <f t="shared" si="65"/>
        <v>0</v>
      </c>
      <c r="BK71" s="120">
        <f t="shared" si="66"/>
        <v>0</v>
      </c>
      <c r="BL71" s="120">
        <f t="shared" si="67"/>
        <v>0</v>
      </c>
      <c r="BM71" s="120">
        <f t="shared" si="68"/>
        <v>0</v>
      </c>
      <c r="BN71" s="120">
        <f t="shared" si="69"/>
        <v>0</v>
      </c>
      <c r="BO71" s="120">
        <f t="shared" si="70"/>
        <v>0</v>
      </c>
      <c r="BP71" s="120">
        <f t="shared" si="71"/>
        <v>0</v>
      </c>
      <c r="BQ71" s="120">
        <f t="shared" si="72"/>
        <v>0</v>
      </c>
      <c r="BR71" s="120">
        <f t="shared" si="73"/>
        <v>0</v>
      </c>
      <c r="BS71" s="120">
        <f t="shared" si="74"/>
        <v>0</v>
      </c>
      <c r="BT71" s="120">
        <f t="shared" si="75"/>
        <v>0</v>
      </c>
      <c r="BU71" s="120">
        <f t="shared" si="76"/>
        <v>0</v>
      </c>
      <c r="BV71" s="120">
        <f t="shared" si="77"/>
        <v>0</v>
      </c>
      <c r="BW71" s="120">
        <f t="shared" si="78"/>
        <v>0</v>
      </c>
      <c r="BX71" s="120">
        <f t="shared" si="79"/>
        <v>0</v>
      </c>
      <c r="BY71" s="120">
        <f t="shared" si="80"/>
        <v>0</v>
      </c>
      <c r="BZ71" s="120">
        <f t="shared" si="81"/>
        <v>0</v>
      </c>
      <c r="CA71" s="120">
        <f t="shared" si="82"/>
        <v>0</v>
      </c>
      <c r="CB71" s="120">
        <f t="shared" si="83"/>
        <v>0</v>
      </c>
      <c r="CC71" s="120">
        <f t="shared" si="84"/>
        <v>0</v>
      </c>
      <c r="CD71" s="120">
        <f t="shared" si="85"/>
        <v>0</v>
      </c>
      <c r="CE71" s="120">
        <f t="shared" si="86"/>
        <v>0</v>
      </c>
      <c r="CF71" s="120">
        <f t="shared" si="87"/>
        <v>0</v>
      </c>
      <c r="CG71" s="120">
        <f t="shared" si="88"/>
        <v>0</v>
      </c>
      <c r="CH71" s="120">
        <f t="shared" si="89"/>
        <v>0</v>
      </c>
      <c r="CI71" s="120">
        <f t="shared" si="90"/>
        <v>0</v>
      </c>
      <c r="CJ71" s="120">
        <f t="shared" si="91"/>
        <v>0</v>
      </c>
      <c r="CK71" s="120">
        <f t="shared" si="92"/>
        <v>0</v>
      </c>
      <c r="CL71" s="120">
        <f t="shared" si="112"/>
        <v>0</v>
      </c>
      <c r="CM71" s="120">
        <f t="shared" si="112"/>
        <v>0</v>
      </c>
      <c r="CN71" s="120">
        <f t="shared" si="112"/>
        <v>0</v>
      </c>
      <c r="CO71" s="120">
        <f t="shared" si="7"/>
        <v>0</v>
      </c>
      <c r="CP71" s="120">
        <f t="shared" si="8"/>
        <v>0</v>
      </c>
      <c r="CQ71" s="120">
        <f t="shared" si="93"/>
        <v>0</v>
      </c>
      <c r="CR71" s="120">
        <f>SUM(CQ71:CQ80)</f>
        <v>0</v>
      </c>
      <c r="CS71" s="321">
        <f t="shared" si="9"/>
        <v>0</v>
      </c>
      <c r="CT71" s="319">
        <f t="shared" si="10"/>
        <v>0</v>
      </c>
      <c r="CU71" s="320">
        <f t="shared" si="11"/>
        <v>0</v>
      </c>
      <c r="CV71" s="320">
        <f t="shared" si="12"/>
        <v>0</v>
      </c>
      <c r="CW71" s="320">
        <f t="shared" si="13"/>
        <v>0</v>
      </c>
      <c r="CX71" s="320">
        <f t="shared" si="14"/>
        <v>0</v>
      </c>
      <c r="CY71" s="320">
        <f t="shared" si="15"/>
        <v>0</v>
      </c>
      <c r="CZ71" s="320">
        <f t="shared" si="16"/>
        <v>0</v>
      </c>
      <c r="DA71" s="320">
        <f t="shared" si="17"/>
        <v>0</v>
      </c>
      <c r="DB71" s="320">
        <f t="shared" si="18"/>
        <v>0</v>
      </c>
      <c r="DC71" s="320">
        <f t="shared" si="19"/>
        <v>0</v>
      </c>
      <c r="DD71" s="320">
        <f t="shared" si="20"/>
        <v>0</v>
      </c>
      <c r="DE71" s="320">
        <f t="shared" si="21"/>
        <v>0</v>
      </c>
      <c r="DF71" s="320">
        <f t="shared" si="22"/>
        <v>0</v>
      </c>
      <c r="DG71" s="320">
        <f t="shared" si="23"/>
        <v>0</v>
      </c>
      <c r="DH71" s="320">
        <f t="shared" si="24"/>
        <v>0</v>
      </c>
      <c r="DI71" s="320">
        <f t="shared" si="25"/>
        <v>0</v>
      </c>
      <c r="DJ71" s="320">
        <f t="shared" si="26"/>
        <v>0</v>
      </c>
      <c r="DK71" s="320">
        <f t="shared" si="27"/>
        <v>0</v>
      </c>
      <c r="DL71" s="320">
        <f t="shared" si="28"/>
        <v>0</v>
      </c>
      <c r="DM71" s="320">
        <f t="shared" si="29"/>
        <v>0</v>
      </c>
      <c r="DN71" s="320">
        <f t="shared" si="30"/>
        <v>0</v>
      </c>
      <c r="DO71" s="320">
        <f t="shared" si="31"/>
        <v>0</v>
      </c>
      <c r="DP71" s="320">
        <f t="shared" si="32"/>
        <v>0</v>
      </c>
      <c r="DQ71" s="320">
        <f t="shared" si="33"/>
        <v>0</v>
      </c>
      <c r="DR71" s="320">
        <f t="shared" si="34"/>
        <v>0</v>
      </c>
      <c r="DS71" s="320">
        <f t="shared" si="35"/>
        <v>0</v>
      </c>
      <c r="DT71" s="320">
        <f t="shared" si="36"/>
        <v>0</v>
      </c>
      <c r="DU71" s="320">
        <f t="shared" si="37"/>
        <v>0</v>
      </c>
      <c r="DV71" s="320">
        <f t="shared" si="38"/>
        <v>0</v>
      </c>
      <c r="DW71" s="320">
        <f t="shared" si="39"/>
        <v>0</v>
      </c>
      <c r="DX71" s="320">
        <f t="shared" si="40"/>
        <v>0</v>
      </c>
      <c r="DY71" s="320">
        <f t="shared" si="41"/>
        <v>0</v>
      </c>
      <c r="DZ71" s="320">
        <f t="shared" si="42"/>
        <v>0</v>
      </c>
      <c r="EA71" s="320">
        <f t="shared" si="43"/>
        <v>0</v>
      </c>
      <c r="EB71" s="320">
        <f t="shared" si="44"/>
        <v>0</v>
      </c>
      <c r="EC71" s="320">
        <f t="shared" si="45"/>
        <v>0</v>
      </c>
      <c r="ED71" s="320">
        <f t="shared" si="46"/>
        <v>0</v>
      </c>
      <c r="EE71" s="320">
        <f t="shared" si="47"/>
        <v>0</v>
      </c>
      <c r="EF71" s="320">
        <f t="shared" si="113"/>
        <v>0</v>
      </c>
      <c r="EG71" s="320">
        <f t="shared" si="113"/>
        <v>0</v>
      </c>
      <c r="EH71" s="320">
        <f t="shared" si="113"/>
        <v>0</v>
      </c>
      <c r="EI71" s="320">
        <f t="shared" si="49"/>
        <v>0</v>
      </c>
      <c r="EJ71" s="320">
        <f t="shared" si="50"/>
        <v>0</v>
      </c>
      <c r="EK71" s="321">
        <f t="shared" si="51"/>
        <v>0</v>
      </c>
    </row>
    <row r="72" spans="1:141">
      <c r="A72" s="21">
        <v>75</v>
      </c>
      <c r="B72" s="21">
        <v>80</v>
      </c>
      <c r="C72" s="21">
        <f t="shared" si="97"/>
        <v>77.5</v>
      </c>
      <c r="D72" s="21">
        <f t="shared" si="1"/>
        <v>414</v>
      </c>
      <c r="E72" s="28">
        <v>0</v>
      </c>
      <c r="F72" s="144">
        <f t="shared" si="114"/>
        <v>3.75</v>
      </c>
      <c r="G72" s="283">
        <f t="shared" si="52"/>
        <v>0</v>
      </c>
      <c r="H72" s="23">
        <f t="shared" si="3"/>
        <v>0</v>
      </c>
      <c r="I72" s="125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129"/>
      <c r="AZ72" s="119">
        <f t="shared" si="55"/>
        <v>0</v>
      </c>
      <c r="BA72" s="120">
        <f t="shared" si="56"/>
        <v>0</v>
      </c>
      <c r="BB72" s="120">
        <f t="shared" si="57"/>
        <v>0</v>
      </c>
      <c r="BC72" s="120">
        <f t="shared" si="58"/>
        <v>0</v>
      </c>
      <c r="BD72" s="120">
        <f t="shared" si="59"/>
        <v>0</v>
      </c>
      <c r="BE72" s="120">
        <f t="shared" si="60"/>
        <v>0</v>
      </c>
      <c r="BF72" s="120">
        <f t="shared" si="61"/>
        <v>0</v>
      </c>
      <c r="BG72" s="120">
        <f t="shared" si="62"/>
        <v>0</v>
      </c>
      <c r="BH72" s="120">
        <f t="shared" si="63"/>
        <v>0</v>
      </c>
      <c r="BI72" s="120">
        <f t="shared" si="64"/>
        <v>0</v>
      </c>
      <c r="BJ72" s="120">
        <f t="shared" si="65"/>
        <v>0</v>
      </c>
      <c r="BK72" s="120">
        <f t="shared" si="66"/>
        <v>0</v>
      </c>
      <c r="BL72" s="120">
        <f t="shared" si="67"/>
        <v>0</v>
      </c>
      <c r="BM72" s="120">
        <f t="shared" si="68"/>
        <v>0</v>
      </c>
      <c r="BN72" s="120">
        <f t="shared" si="69"/>
        <v>0</v>
      </c>
      <c r="BO72" s="120">
        <f t="shared" si="70"/>
        <v>0</v>
      </c>
      <c r="BP72" s="120">
        <f t="shared" si="71"/>
        <v>0</v>
      </c>
      <c r="BQ72" s="120">
        <f t="shared" si="72"/>
        <v>0</v>
      </c>
      <c r="BR72" s="120">
        <f t="shared" si="73"/>
        <v>0</v>
      </c>
      <c r="BS72" s="120">
        <f t="shared" si="74"/>
        <v>0</v>
      </c>
      <c r="BT72" s="120">
        <f t="shared" si="75"/>
        <v>0</v>
      </c>
      <c r="BU72" s="120">
        <f t="shared" si="76"/>
        <v>0</v>
      </c>
      <c r="BV72" s="120">
        <f t="shared" si="77"/>
        <v>0</v>
      </c>
      <c r="BW72" s="120">
        <f t="shared" si="78"/>
        <v>0</v>
      </c>
      <c r="BX72" s="120">
        <f t="shared" si="79"/>
        <v>0</v>
      </c>
      <c r="BY72" s="120">
        <f t="shared" si="80"/>
        <v>0</v>
      </c>
      <c r="BZ72" s="120">
        <f t="shared" si="81"/>
        <v>0</v>
      </c>
      <c r="CA72" s="120">
        <f t="shared" si="82"/>
        <v>0</v>
      </c>
      <c r="CB72" s="120">
        <f t="shared" si="83"/>
        <v>0</v>
      </c>
      <c r="CC72" s="120">
        <f t="shared" si="84"/>
        <v>0</v>
      </c>
      <c r="CD72" s="120">
        <f t="shared" si="85"/>
        <v>0</v>
      </c>
      <c r="CE72" s="120">
        <f t="shared" si="86"/>
        <v>0</v>
      </c>
      <c r="CF72" s="120">
        <f t="shared" si="87"/>
        <v>0</v>
      </c>
      <c r="CG72" s="120">
        <f t="shared" si="88"/>
        <v>0</v>
      </c>
      <c r="CH72" s="120">
        <f t="shared" si="89"/>
        <v>0</v>
      </c>
      <c r="CI72" s="120">
        <f t="shared" si="90"/>
        <v>0</v>
      </c>
      <c r="CJ72" s="120">
        <f t="shared" si="91"/>
        <v>0</v>
      </c>
      <c r="CK72" s="120">
        <f t="shared" si="92"/>
        <v>0</v>
      </c>
      <c r="CL72" s="120">
        <f t="shared" si="112"/>
        <v>0</v>
      </c>
      <c r="CM72" s="120">
        <f t="shared" si="112"/>
        <v>0</v>
      </c>
      <c r="CN72" s="120">
        <f t="shared" si="112"/>
        <v>0</v>
      </c>
      <c r="CO72" s="120">
        <f t="shared" si="7"/>
        <v>0</v>
      </c>
      <c r="CP72" s="120">
        <f t="shared" si="8"/>
        <v>0</v>
      </c>
      <c r="CQ72" s="120">
        <f t="shared" si="93"/>
        <v>0</v>
      </c>
      <c r="CR72" s="120">
        <f>SUM(CQ72:CQ80)</f>
        <v>0</v>
      </c>
      <c r="CS72" s="321">
        <f t="shared" si="9"/>
        <v>0</v>
      </c>
      <c r="CT72" s="319">
        <f t="shared" si="10"/>
        <v>0</v>
      </c>
      <c r="CU72" s="320">
        <f t="shared" si="11"/>
        <v>0</v>
      </c>
      <c r="CV72" s="320">
        <f t="shared" si="12"/>
        <v>0</v>
      </c>
      <c r="CW72" s="320">
        <f t="shared" si="13"/>
        <v>0</v>
      </c>
      <c r="CX72" s="320">
        <f t="shared" si="14"/>
        <v>0</v>
      </c>
      <c r="CY72" s="320">
        <f t="shared" si="15"/>
        <v>0</v>
      </c>
      <c r="CZ72" s="320">
        <f t="shared" si="16"/>
        <v>0</v>
      </c>
      <c r="DA72" s="320">
        <f t="shared" si="17"/>
        <v>0</v>
      </c>
      <c r="DB72" s="320">
        <f t="shared" si="18"/>
        <v>0</v>
      </c>
      <c r="DC72" s="320">
        <f t="shared" si="19"/>
        <v>0</v>
      </c>
      <c r="DD72" s="320">
        <f t="shared" si="20"/>
        <v>0</v>
      </c>
      <c r="DE72" s="320">
        <f t="shared" si="21"/>
        <v>0</v>
      </c>
      <c r="DF72" s="320">
        <f t="shared" si="22"/>
        <v>0</v>
      </c>
      <c r="DG72" s="320">
        <f t="shared" si="23"/>
        <v>0</v>
      </c>
      <c r="DH72" s="320">
        <f t="shared" si="24"/>
        <v>0</v>
      </c>
      <c r="DI72" s="320">
        <f t="shared" si="25"/>
        <v>0</v>
      </c>
      <c r="DJ72" s="320">
        <f t="shared" si="26"/>
        <v>0</v>
      </c>
      <c r="DK72" s="320">
        <f t="shared" si="27"/>
        <v>0</v>
      </c>
      <c r="DL72" s="320">
        <f t="shared" si="28"/>
        <v>0</v>
      </c>
      <c r="DM72" s="320">
        <f t="shared" si="29"/>
        <v>0</v>
      </c>
      <c r="DN72" s="320">
        <f t="shared" si="30"/>
        <v>0</v>
      </c>
      <c r="DO72" s="320">
        <f t="shared" si="31"/>
        <v>0</v>
      </c>
      <c r="DP72" s="320">
        <f t="shared" si="32"/>
        <v>0</v>
      </c>
      <c r="DQ72" s="320">
        <f t="shared" si="33"/>
        <v>0</v>
      </c>
      <c r="DR72" s="320">
        <f t="shared" si="34"/>
        <v>0</v>
      </c>
      <c r="DS72" s="320">
        <f t="shared" si="35"/>
        <v>0</v>
      </c>
      <c r="DT72" s="320">
        <f t="shared" si="36"/>
        <v>0</v>
      </c>
      <c r="DU72" s="320">
        <f t="shared" si="37"/>
        <v>0</v>
      </c>
      <c r="DV72" s="320">
        <f t="shared" si="38"/>
        <v>0</v>
      </c>
      <c r="DW72" s="320">
        <f t="shared" si="39"/>
        <v>0</v>
      </c>
      <c r="DX72" s="320">
        <f t="shared" si="40"/>
        <v>0</v>
      </c>
      <c r="DY72" s="320">
        <f t="shared" si="41"/>
        <v>0</v>
      </c>
      <c r="DZ72" s="320">
        <f t="shared" si="42"/>
        <v>0</v>
      </c>
      <c r="EA72" s="320">
        <f t="shared" si="43"/>
        <v>0</v>
      </c>
      <c r="EB72" s="320">
        <f t="shared" si="44"/>
        <v>0</v>
      </c>
      <c r="EC72" s="320">
        <f t="shared" si="45"/>
        <v>0</v>
      </c>
      <c r="ED72" s="320">
        <f t="shared" si="46"/>
        <v>0</v>
      </c>
      <c r="EE72" s="320">
        <f t="shared" si="47"/>
        <v>0</v>
      </c>
      <c r="EF72" s="320">
        <f t="shared" si="113"/>
        <v>0</v>
      </c>
      <c r="EG72" s="320">
        <f t="shared" si="113"/>
        <v>0</v>
      </c>
      <c r="EH72" s="320">
        <f t="shared" si="113"/>
        <v>0</v>
      </c>
      <c r="EI72" s="320">
        <f t="shared" si="49"/>
        <v>0</v>
      </c>
      <c r="EJ72" s="320">
        <f t="shared" si="50"/>
        <v>0</v>
      </c>
      <c r="EK72" s="321">
        <f t="shared" si="51"/>
        <v>0</v>
      </c>
    </row>
    <row r="73" spans="1:141">
      <c r="A73" s="21">
        <v>80</v>
      </c>
      <c r="B73" s="21">
        <v>85</v>
      </c>
      <c r="C73" s="21">
        <f t="shared" si="97"/>
        <v>82.5</v>
      </c>
      <c r="D73" s="21">
        <f t="shared" si="1"/>
        <v>205</v>
      </c>
      <c r="E73" s="28">
        <v>0</v>
      </c>
      <c r="F73" s="144">
        <f t="shared" si="114"/>
        <v>3.75</v>
      </c>
      <c r="G73" s="283">
        <f t="shared" si="52"/>
        <v>0</v>
      </c>
      <c r="H73" s="23">
        <f t="shared" si="3"/>
        <v>0</v>
      </c>
      <c r="I73" s="125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129"/>
      <c r="AZ73" s="119">
        <f t="shared" si="55"/>
        <v>0</v>
      </c>
      <c r="BA73" s="120">
        <f t="shared" si="56"/>
        <v>0</v>
      </c>
      <c r="BB73" s="120">
        <f t="shared" si="57"/>
        <v>0</v>
      </c>
      <c r="BC73" s="120">
        <f t="shared" si="58"/>
        <v>0</v>
      </c>
      <c r="BD73" s="120">
        <f t="shared" si="59"/>
        <v>0</v>
      </c>
      <c r="BE73" s="120">
        <f t="shared" si="60"/>
        <v>0</v>
      </c>
      <c r="BF73" s="120">
        <f t="shared" si="61"/>
        <v>0</v>
      </c>
      <c r="BG73" s="120">
        <f t="shared" si="62"/>
        <v>0</v>
      </c>
      <c r="BH73" s="120">
        <f t="shared" si="63"/>
        <v>0</v>
      </c>
      <c r="BI73" s="120">
        <f t="shared" si="64"/>
        <v>0</v>
      </c>
      <c r="BJ73" s="120">
        <f t="shared" si="65"/>
        <v>0</v>
      </c>
      <c r="BK73" s="120">
        <f t="shared" si="66"/>
        <v>0</v>
      </c>
      <c r="BL73" s="120">
        <f t="shared" si="67"/>
        <v>0</v>
      </c>
      <c r="BM73" s="120">
        <f t="shared" si="68"/>
        <v>0</v>
      </c>
      <c r="BN73" s="120">
        <f t="shared" si="69"/>
        <v>0</v>
      </c>
      <c r="BO73" s="120">
        <f t="shared" si="70"/>
        <v>0</v>
      </c>
      <c r="BP73" s="120">
        <f t="shared" si="71"/>
        <v>0</v>
      </c>
      <c r="BQ73" s="120">
        <f t="shared" si="72"/>
        <v>0</v>
      </c>
      <c r="BR73" s="120">
        <f t="shared" si="73"/>
        <v>0</v>
      </c>
      <c r="BS73" s="120">
        <f t="shared" si="74"/>
        <v>0</v>
      </c>
      <c r="BT73" s="120">
        <f t="shared" si="75"/>
        <v>0</v>
      </c>
      <c r="BU73" s="120">
        <f t="shared" si="76"/>
        <v>0</v>
      </c>
      <c r="BV73" s="120">
        <f t="shared" si="77"/>
        <v>0</v>
      </c>
      <c r="BW73" s="120">
        <f t="shared" si="78"/>
        <v>0</v>
      </c>
      <c r="BX73" s="120">
        <f t="shared" si="79"/>
        <v>0</v>
      </c>
      <c r="BY73" s="120">
        <f t="shared" si="80"/>
        <v>0</v>
      </c>
      <c r="BZ73" s="120">
        <f t="shared" si="81"/>
        <v>0</v>
      </c>
      <c r="CA73" s="120">
        <f t="shared" si="82"/>
        <v>0</v>
      </c>
      <c r="CB73" s="120">
        <f t="shared" si="83"/>
        <v>0</v>
      </c>
      <c r="CC73" s="120">
        <f t="shared" si="84"/>
        <v>0</v>
      </c>
      <c r="CD73" s="120">
        <f t="shared" si="85"/>
        <v>0</v>
      </c>
      <c r="CE73" s="120">
        <f t="shared" si="86"/>
        <v>0</v>
      </c>
      <c r="CF73" s="120">
        <f t="shared" si="87"/>
        <v>0</v>
      </c>
      <c r="CG73" s="120">
        <f t="shared" si="88"/>
        <v>0</v>
      </c>
      <c r="CH73" s="120">
        <f t="shared" si="89"/>
        <v>0</v>
      </c>
      <c r="CI73" s="120">
        <f t="shared" si="90"/>
        <v>0</v>
      </c>
      <c r="CJ73" s="120">
        <f t="shared" si="91"/>
        <v>0</v>
      </c>
      <c r="CK73" s="120">
        <f t="shared" si="92"/>
        <v>0</v>
      </c>
      <c r="CL73" s="120">
        <f t="shared" si="112"/>
        <v>0</v>
      </c>
      <c r="CM73" s="120">
        <f t="shared" si="112"/>
        <v>0</v>
      </c>
      <c r="CN73" s="120">
        <f t="shared" si="112"/>
        <v>0</v>
      </c>
      <c r="CO73" s="120">
        <f t="shared" si="7"/>
        <v>0</v>
      </c>
      <c r="CP73" s="120">
        <f t="shared" si="8"/>
        <v>0</v>
      </c>
      <c r="CQ73" s="120">
        <f t="shared" si="93"/>
        <v>0</v>
      </c>
      <c r="CR73" s="120">
        <f>SUM(CQ73:CQ80)</f>
        <v>0</v>
      </c>
      <c r="CS73" s="321">
        <f t="shared" si="9"/>
        <v>0</v>
      </c>
      <c r="CT73" s="319">
        <f t="shared" si="10"/>
        <v>0</v>
      </c>
      <c r="CU73" s="320">
        <f t="shared" si="11"/>
        <v>0</v>
      </c>
      <c r="CV73" s="320">
        <f t="shared" si="12"/>
        <v>0</v>
      </c>
      <c r="CW73" s="320">
        <f t="shared" si="13"/>
        <v>0</v>
      </c>
      <c r="CX73" s="320">
        <f t="shared" si="14"/>
        <v>0</v>
      </c>
      <c r="CY73" s="320">
        <f t="shared" si="15"/>
        <v>0</v>
      </c>
      <c r="CZ73" s="320">
        <f t="shared" si="16"/>
        <v>0</v>
      </c>
      <c r="DA73" s="320">
        <f t="shared" si="17"/>
        <v>0</v>
      </c>
      <c r="DB73" s="320">
        <f t="shared" si="18"/>
        <v>0</v>
      </c>
      <c r="DC73" s="320">
        <f t="shared" si="19"/>
        <v>0</v>
      </c>
      <c r="DD73" s="320">
        <f t="shared" si="20"/>
        <v>0</v>
      </c>
      <c r="DE73" s="320">
        <f t="shared" si="21"/>
        <v>0</v>
      </c>
      <c r="DF73" s="320">
        <f t="shared" si="22"/>
        <v>0</v>
      </c>
      <c r="DG73" s="320">
        <f t="shared" si="23"/>
        <v>0</v>
      </c>
      <c r="DH73" s="320">
        <f t="shared" si="24"/>
        <v>0</v>
      </c>
      <c r="DI73" s="320">
        <f t="shared" si="25"/>
        <v>0</v>
      </c>
      <c r="DJ73" s="320">
        <f t="shared" si="26"/>
        <v>0</v>
      </c>
      <c r="DK73" s="320">
        <f t="shared" si="27"/>
        <v>0</v>
      </c>
      <c r="DL73" s="320">
        <f t="shared" si="28"/>
        <v>0</v>
      </c>
      <c r="DM73" s="320">
        <f t="shared" si="29"/>
        <v>0</v>
      </c>
      <c r="DN73" s="320">
        <f t="shared" si="30"/>
        <v>0</v>
      </c>
      <c r="DO73" s="320">
        <f t="shared" si="31"/>
        <v>0</v>
      </c>
      <c r="DP73" s="320">
        <f t="shared" si="32"/>
        <v>0</v>
      </c>
      <c r="DQ73" s="320">
        <f t="shared" si="33"/>
        <v>0</v>
      </c>
      <c r="DR73" s="320">
        <f t="shared" si="34"/>
        <v>0</v>
      </c>
      <c r="DS73" s="320">
        <f t="shared" si="35"/>
        <v>0</v>
      </c>
      <c r="DT73" s="320">
        <f t="shared" si="36"/>
        <v>0</v>
      </c>
      <c r="DU73" s="320">
        <f t="shared" si="37"/>
        <v>0</v>
      </c>
      <c r="DV73" s="320">
        <f t="shared" si="38"/>
        <v>0</v>
      </c>
      <c r="DW73" s="320">
        <f t="shared" si="39"/>
        <v>0</v>
      </c>
      <c r="DX73" s="320">
        <f t="shared" si="40"/>
        <v>0</v>
      </c>
      <c r="DY73" s="320">
        <f t="shared" si="41"/>
        <v>0</v>
      </c>
      <c r="DZ73" s="320">
        <f t="shared" si="42"/>
        <v>0</v>
      </c>
      <c r="EA73" s="320">
        <f t="shared" si="43"/>
        <v>0</v>
      </c>
      <c r="EB73" s="320">
        <f t="shared" si="44"/>
        <v>0</v>
      </c>
      <c r="EC73" s="320">
        <f t="shared" si="45"/>
        <v>0</v>
      </c>
      <c r="ED73" s="320">
        <f t="shared" si="46"/>
        <v>0</v>
      </c>
      <c r="EE73" s="320">
        <f t="shared" si="47"/>
        <v>0</v>
      </c>
      <c r="EF73" s="320">
        <f t="shared" si="113"/>
        <v>0</v>
      </c>
      <c r="EG73" s="320">
        <f t="shared" si="113"/>
        <v>0</v>
      </c>
      <c r="EH73" s="320">
        <f t="shared" si="113"/>
        <v>0</v>
      </c>
      <c r="EI73" s="320">
        <f t="shared" si="49"/>
        <v>0</v>
      </c>
      <c r="EJ73" s="320">
        <f t="shared" si="50"/>
        <v>0</v>
      </c>
      <c r="EK73" s="321">
        <f t="shared" si="51"/>
        <v>0</v>
      </c>
    </row>
    <row r="74" spans="1:141">
      <c r="A74" s="21">
        <v>85</v>
      </c>
      <c r="B74" s="21">
        <v>90</v>
      </c>
      <c r="C74" s="21">
        <f t="shared" si="97"/>
        <v>87.5</v>
      </c>
      <c r="D74" s="21">
        <f t="shared" si="1"/>
        <v>26</v>
      </c>
      <c r="E74" s="28">
        <v>0</v>
      </c>
      <c r="F74" s="144">
        <f t="shared" si="114"/>
        <v>3.75</v>
      </c>
      <c r="G74" s="283">
        <f t="shared" si="52"/>
        <v>0</v>
      </c>
      <c r="H74" s="23">
        <f t="shared" si="3"/>
        <v>0</v>
      </c>
      <c r="I74" s="125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129"/>
      <c r="AZ74" s="119">
        <f t="shared" si="55"/>
        <v>0</v>
      </c>
      <c r="BA74" s="120">
        <f t="shared" si="56"/>
        <v>0</v>
      </c>
      <c r="BB74" s="120">
        <f t="shared" si="57"/>
        <v>0</v>
      </c>
      <c r="BC74" s="120">
        <f t="shared" si="58"/>
        <v>0</v>
      </c>
      <c r="BD74" s="120">
        <f t="shared" si="59"/>
        <v>0</v>
      </c>
      <c r="BE74" s="120">
        <f t="shared" si="60"/>
        <v>0</v>
      </c>
      <c r="BF74" s="120">
        <f t="shared" si="61"/>
        <v>0</v>
      </c>
      <c r="BG74" s="120">
        <f t="shared" si="62"/>
        <v>0</v>
      </c>
      <c r="BH74" s="120">
        <f t="shared" si="63"/>
        <v>0</v>
      </c>
      <c r="BI74" s="120">
        <f t="shared" si="64"/>
        <v>0</v>
      </c>
      <c r="BJ74" s="120">
        <f t="shared" si="65"/>
        <v>0</v>
      </c>
      <c r="BK74" s="120">
        <f t="shared" si="66"/>
        <v>0</v>
      </c>
      <c r="BL74" s="120">
        <f t="shared" si="67"/>
        <v>0</v>
      </c>
      <c r="BM74" s="120">
        <f t="shared" si="68"/>
        <v>0</v>
      </c>
      <c r="BN74" s="120">
        <f t="shared" si="69"/>
        <v>0</v>
      </c>
      <c r="BO74" s="120">
        <f t="shared" si="70"/>
        <v>0</v>
      </c>
      <c r="BP74" s="120">
        <f t="shared" si="71"/>
        <v>0</v>
      </c>
      <c r="BQ74" s="120">
        <f t="shared" si="72"/>
        <v>0</v>
      </c>
      <c r="BR74" s="120">
        <f t="shared" si="73"/>
        <v>0</v>
      </c>
      <c r="BS74" s="120">
        <f t="shared" si="74"/>
        <v>0</v>
      </c>
      <c r="BT74" s="120">
        <f t="shared" si="75"/>
        <v>0</v>
      </c>
      <c r="BU74" s="120">
        <f t="shared" si="76"/>
        <v>0</v>
      </c>
      <c r="BV74" s="120">
        <f t="shared" si="77"/>
        <v>0</v>
      </c>
      <c r="BW74" s="120">
        <f t="shared" si="78"/>
        <v>0</v>
      </c>
      <c r="BX74" s="120">
        <f t="shared" si="79"/>
        <v>0</v>
      </c>
      <c r="BY74" s="120">
        <f t="shared" si="80"/>
        <v>0</v>
      </c>
      <c r="BZ74" s="120">
        <f t="shared" si="81"/>
        <v>0</v>
      </c>
      <c r="CA74" s="120">
        <f t="shared" si="82"/>
        <v>0</v>
      </c>
      <c r="CB74" s="120">
        <f t="shared" si="83"/>
        <v>0</v>
      </c>
      <c r="CC74" s="120">
        <f t="shared" si="84"/>
        <v>0</v>
      </c>
      <c r="CD74" s="120">
        <f t="shared" si="85"/>
        <v>0</v>
      </c>
      <c r="CE74" s="120">
        <f t="shared" si="86"/>
        <v>0</v>
      </c>
      <c r="CF74" s="120">
        <f t="shared" si="87"/>
        <v>0</v>
      </c>
      <c r="CG74" s="120">
        <f t="shared" si="88"/>
        <v>0</v>
      </c>
      <c r="CH74" s="120">
        <f t="shared" si="89"/>
        <v>0</v>
      </c>
      <c r="CI74" s="120">
        <f t="shared" si="90"/>
        <v>0</v>
      </c>
      <c r="CJ74" s="120">
        <f t="shared" si="91"/>
        <v>0</v>
      </c>
      <c r="CK74" s="120">
        <f t="shared" si="92"/>
        <v>0</v>
      </c>
      <c r="CL74" s="120">
        <f t="shared" si="112"/>
        <v>0</v>
      </c>
      <c r="CM74" s="120">
        <f t="shared" si="112"/>
        <v>0</v>
      </c>
      <c r="CN74" s="120">
        <f t="shared" si="112"/>
        <v>0</v>
      </c>
      <c r="CO74" s="120">
        <f t="shared" si="7"/>
        <v>0</v>
      </c>
      <c r="CP74" s="120">
        <f t="shared" si="8"/>
        <v>0</v>
      </c>
      <c r="CQ74" s="120">
        <f t="shared" si="93"/>
        <v>0</v>
      </c>
      <c r="CR74" s="120">
        <f>SUM(CQ74:CQ80)</f>
        <v>0</v>
      </c>
      <c r="CS74" s="321">
        <f t="shared" si="9"/>
        <v>0</v>
      </c>
      <c r="CT74" s="319">
        <f t="shared" si="10"/>
        <v>0</v>
      </c>
      <c r="CU74" s="320">
        <f t="shared" si="11"/>
        <v>0</v>
      </c>
      <c r="CV74" s="320">
        <f t="shared" si="12"/>
        <v>0</v>
      </c>
      <c r="CW74" s="320">
        <f t="shared" si="13"/>
        <v>0</v>
      </c>
      <c r="CX74" s="320">
        <f t="shared" si="14"/>
        <v>0</v>
      </c>
      <c r="CY74" s="320">
        <f t="shared" si="15"/>
        <v>0</v>
      </c>
      <c r="CZ74" s="320">
        <f t="shared" si="16"/>
        <v>0</v>
      </c>
      <c r="DA74" s="320">
        <f t="shared" si="17"/>
        <v>0</v>
      </c>
      <c r="DB74" s="320">
        <f t="shared" si="18"/>
        <v>0</v>
      </c>
      <c r="DC74" s="320">
        <f t="shared" si="19"/>
        <v>0</v>
      </c>
      <c r="DD74" s="320">
        <f t="shared" si="20"/>
        <v>0</v>
      </c>
      <c r="DE74" s="320">
        <f t="shared" si="21"/>
        <v>0</v>
      </c>
      <c r="DF74" s="320">
        <f t="shared" si="22"/>
        <v>0</v>
      </c>
      <c r="DG74" s="320">
        <f t="shared" si="23"/>
        <v>0</v>
      </c>
      <c r="DH74" s="320">
        <f t="shared" si="24"/>
        <v>0</v>
      </c>
      <c r="DI74" s="320">
        <f t="shared" si="25"/>
        <v>0</v>
      </c>
      <c r="DJ74" s="320">
        <f t="shared" si="26"/>
        <v>0</v>
      </c>
      <c r="DK74" s="320">
        <f t="shared" si="27"/>
        <v>0</v>
      </c>
      <c r="DL74" s="320">
        <f t="shared" si="28"/>
        <v>0</v>
      </c>
      <c r="DM74" s="320">
        <f t="shared" si="29"/>
        <v>0</v>
      </c>
      <c r="DN74" s="320">
        <f t="shared" si="30"/>
        <v>0</v>
      </c>
      <c r="DO74" s="320">
        <f t="shared" si="31"/>
        <v>0</v>
      </c>
      <c r="DP74" s="320">
        <f t="shared" si="32"/>
        <v>0</v>
      </c>
      <c r="DQ74" s="320">
        <f t="shared" si="33"/>
        <v>0</v>
      </c>
      <c r="DR74" s="320">
        <f t="shared" si="34"/>
        <v>0</v>
      </c>
      <c r="DS74" s="320">
        <f t="shared" si="35"/>
        <v>0</v>
      </c>
      <c r="DT74" s="320">
        <f t="shared" si="36"/>
        <v>0</v>
      </c>
      <c r="DU74" s="320">
        <f t="shared" si="37"/>
        <v>0</v>
      </c>
      <c r="DV74" s="320">
        <f t="shared" si="38"/>
        <v>0</v>
      </c>
      <c r="DW74" s="320">
        <f t="shared" si="39"/>
        <v>0</v>
      </c>
      <c r="DX74" s="320">
        <f t="shared" si="40"/>
        <v>0</v>
      </c>
      <c r="DY74" s="320">
        <f t="shared" si="41"/>
        <v>0</v>
      </c>
      <c r="DZ74" s="320">
        <f t="shared" si="42"/>
        <v>0</v>
      </c>
      <c r="EA74" s="320">
        <f t="shared" si="43"/>
        <v>0</v>
      </c>
      <c r="EB74" s="320">
        <f t="shared" si="44"/>
        <v>0</v>
      </c>
      <c r="EC74" s="320">
        <f t="shared" si="45"/>
        <v>0</v>
      </c>
      <c r="ED74" s="320">
        <f t="shared" si="46"/>
        <v>0</v>
      </c>
      <c r="EE74" s="320">
        <f t="shared" si="47"/>
        <v>0</v>
      </c>
      <c r="EF74" s="320">
        <f t="shared" si="113"/>
        <v>0</v>
      </c>
      <c r="EG74" s="320">
        <f t="shared" si="113"/>
        <v>0</v>
      </c>
      <c r="EH74" s="320">
        <f t="shared" si="113"/>
        <v>0</v>
      </c>
      <c r="EI74" s="320">
        <f t="shared" si="49"/>
        <v>0</v>
      </c>
      <c r="EJ74" s="320">
        <f t="shared" si="50"/>
        <v>0</v>
      </c>
      <c r="EK74" s="321">
        <f t="shared" si="51"/>
        <v>0</v>
      </c>
    </row>
    <row r="75" spans="1:141">
      <c r="A75" s="21">
        <v>90</v>
      </c>
      <c r="B75" s="21">
        <v>95</v>
      </c>
      <c r="C75" s="21">
        <f t="shared" si="97"/>
        <v>92.5</v>
      </c>
      <c r="D75" s="21">
        <f t="shared" si="1"/>
        <v>0</v>
      </c>
      <c r="E75" s="28">
        <v>0</v>
      </c>
      <c r="F75" s="144">
        <f t="shared" si="114"/>
        <v>3.75</v>
      </c>
      <c r="G75" s="283">
        <f t="shared" si="52"/>
        <v>0</v>
      </c>
      <c r="H75" s="23">
        <f t="shared" si="3"/>
        <v>0</v>
      </c>
      <c r="I75" s="125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129"/>
      <c r="AZ75" s="119">
        <f t="shared" si="55"/>
        <v>0</v>
      </c>
      <c r="BA75" s="120">
        <f t="shared" si="56"/>
        <v>0</v>
      </c>
      <c r="BB75" s="120">
        <f t="shared" si="57"/>
        <v>0</v>
      </c>
      <c r="BC75" s="120">
        <f t="shared" si="58"/>
        <v>0</v>
      </c>
      <c r="BD75" s="120">
        <f t="shared" si="59"/>
        <v>0</v>
      </c>
      <c r="BE75" s="120">
        <f t="shared" si="60"/>
        <v>0</v>
      </c>
      <c r="BF75" s="120">
        <f t="shared" si="61"/>
        <v>0</v>
      </c>
      <c r="BG75" s="120">
        <f t="shared" si="62"/>
        <v>0</v>
      </c>
      <c r="BH75" s="120">
        <f t="shared" si="63"/>
        <v>0</v>
      </c>
      <c r="BI75" s="120">
        <f t="shared" si="64"/>
        <v>0</v>
      </c>
      <c r="BJ75" s="120">
        <f t="shared" si="65"/>
        <v>0</v>
      </c>
      <c r="BK75" s="120">
        <f t="shared" si="66"/>
        <v>0</v>
      </c>
      <c r="BL75" s="120">
        <f t="shared" si="67"/>
        <v>0</v>
      </c>
      <c r="BM75" s="120">
        <f t="shared" si="68"/>
        <v>0</v>
      </c>
      <c r="BN75" s="120">
        <f t="shared" si="69"/>
        <v>0</v>
      </c>
      <c r="BO75" s="120">
        <f t="shared" si="70"/>
        <v>0</v>
      </c>
      <c r="BP75" s="120">
        <f t="shared" si="71"/>
        <v>0</v>
      </c>
      <c r="BQ75" s="120">
        <f t="shared" si="72"/>
        <v>0</v>
      </c>
      <c r="BR75" s="120">
        <f t="shared" si="73"/>
        <v>0</v>
      </c>
      <c r="BS75" s="120">
        <f t="shared" si="74"/>
        <v>0</v>
      </c>
      <c r="BT75" s="120">
        <f t="shared" si="75"/>
        <v>0</v>
      </c>
      <c r="BU75" s="120">
        <f t="shared" si="76"/>
        <v>0</v>
      </c>
      <c r="BV75" s="120">
        <f t="shared" si="77"/>
        <v>0</v>
      </c>
      <c r="BW75" s="120">
        <f t="shared" si="78"/>
        <v>0</v>
      </c>
      <c r="BX75" s="120">
        <f t="shared" si="79"/>
        <v>0</v>
      </c>
      <c r="BY75" s="120">
        <f t="shared" si="80"/>
        <v>0</v>
      </c>
      <c r="BZ75" s="120">
        <f t="shared" si="81"/>
        <v>0</v>
      </c>
      <c r="CA75" s="120">
        <f t="shared" si="82"/>
        <v>0</v>
      </c>
      <c r="CB75" s="120">
        <f t="shared" si="83"/>
        <v>0</v>
      </c>
      <c r="CC75" s="120">
        <f t="shared" si="84"/>
        <v>0</v>
      </c>
      <c r="CD75" s="120">
        <f t="shared" si="85"/>
        <v>0</v>
      </c>
      <c r="CE75" s="120">
        <f t="shared" si="86"/>
        <v>0</v>
      </c>
      <c r="CF75" s="120">
        <f t="shared" si="87"/>
        <v>0</v>
      </c>
      <c r="CG75" s="120">
        <f t="shared" si="88"/>
        <v>0</v>
      </c>
      <c r="CH75" s="120">
        <f t="shared" si="89"/>
        <v>0</v>
      </c>
      <c r="CI75" s="120">
        <f t="shared" si="90"/>
        <v>0</v>
      </c>
      <c r="CJ75" s="120">
        <f t="shared" si="91"/>
        <v>0</v>
      </c>
      <c r="CK75" s="120">
        <f t="shared" si="92"/>
        <v>0</v>
      </c>
      <c r="CL75" s="120">
        <f t="shared" si="112"/>
        <v>0</v>
      </c>
      <c r="CM75" s="120">
        <f t="shared" si="112"/>
        <v>0</v>
      </c>
      <c r="CN75" s="120">
        <f t="shared" si="112"/>
        <v>0</v>
      </c>
      <c r="CO75" s="120">
        <f t="shared" si="7"/>
        <v>0</v>
      </c>
      <c r="CP75" s="120">
        <f t="shared" si="8"/>
        <v>0</v>
      </c>
      <c r="CQ75" s="120">
        <f t="shared" si="93"/>
        <v>0</v>
      </c>
      <c r="CR75" s="120">
        <f>SUM(CQ75:CQ80)</f>
        <v>0</v>
      </c>
      <c r="CS75" s="321">
        <f t="shared" si="9"/>
        <v>0</v>
      </c>
      <c r="CT75" s="319">
        <f t="shared" si="10"/>
        <v>0</v>
      </c>
      <c r="CU75" s="320">
        <f t="shared" si="11"/>
        <v>0</v>
      </c>
      <c r="CV75" s="320">
        <f t="shared" si="12"/>
        <v>0</v>
      </c>
      <c r="CW75" s="320">
        <f t="shared" si="13"/>
        <v>0</v>
      </c>
      <c r="CX75" s="320">
        <f t="shared" si="14"/>
        <v>0</v>
      </c>
      <c r="CY75" s="320">
        <f t="shared" si="15"/>
        <v>0</v>
      </c>
      <c r="CZ75" s="320">
        <f t="shared" si="16"/>
        <v>0</v>
      </c>
      <c r="DA75" s="320">
        <f t="shared" si="17"/>
        <v>0</v>
      </c>
      <c r="DB75" s="320">
        <f t="shared" si="18"/>
        <v>0</v>
      </c>
      <c r="DC75" s="320">
        <f t="shared" si="19"/>
        <v>0</v>
      </c>
      <c r="DD75" s="320">
        <f t="shared" si="20"/>
        <v>0</v>
      </c>
      <c r="DE75" s="320">
        <f t="shared" si="21"/>
        <v>0</v>
      </c>
      <c r="DF75" s="320">
        <f t="shared" si="22"/>
        <v>0</v>
      </c>
      <c r="DG75" s="320">
        <f t="shared" si="23"/>
        <v>0</v>
      </c>
      <c r="DH75" s="320">
        <f t="shared" si="24"/>
        <v>0</v>
      </c>
      <c r="DI75" s="320">
        <f t="shared" si="25"/>
        <v>0</v>
      </c>
      <c r="DJ75" s="320">
        <f t="shared" si="26"/>
        <v>0</v>
      </c>
      <c r="DK75" s="320">
        <f t="shared" si="27"/>
        <v>0</v>
      </c>
      <c r="DL75" s="320">
        <f t="shared" si="28"/>
        <v>0</v>
      </c>
      <c r="DM75" s="320">
        <f t="shared" si="29"/>
        <v>0</v>
      </c>
      <c r="DN75" s="320">
        <f t="shared" si="30"/>
        <v>0</v>
      </c>
      <c r="DO75" s="320">
        <f t="shared" si="31"/>
        <v>0</v>
      </c>
      <c r="DP75" s="320">
        <f t="shared" si="32"/>
        <v>0</v>
      </c>
      <c r="DQ75" s="320">
        <f t="shared" si="33"/>
        <v>0</v>
      </c>
      <c r="DR75" s="320">
        <f t="shared" si="34"/>
        <v>0</v>
      </c>
      <c r="DS75" s="320">
        <f t="shared" si="35"/>
        <v>0</v>
      </c>
      <c r="DT75" s="320">
        <f t="shared" si="36"/>
        <v>0</v>
      </c>
      <c r="DU75" s="320">
        <f t="shared" si="37"/>
        <v>0</v>
      </c>
      <c r="DV75" s="320">
        <f t="shared" si="38"/>
        <v>0</v>
      </c>
      <c r="DW75" s="320">
        <f t="shared" si="39"/>
        <v>0</v>
      </c>
      <c r="DX75" s="320">
        <f t="shared" si="40"/>
        <v>0</v>
      </c>
      <c r="DY75" s="320">
        <f t="shared" si="41"/>
        <v>0</v>
      </c>
      <c r="DZ75" s="320">
        <f t="shared" si="42"/>
        <v>0</v>
      </c>
      <c r="EA75" s="320">
        <f t="shared" si="43"/>
        <v>0</v>
      </c>
      <c r="EB75" s="320">
        <f t="shared" si="44"/>
        <v>0</v>
      </c>
      <c r="EC75" s="320">
        <f t="shared" si="45"/>
        <v>0</v>
      </c>
      <c r="ED75" s="320">
        <f t="shared" si="46"/>
        <v>0</v>
      </c>
      <c r="EE75" s="320">
        <f t="shared" si="47"/>
        <v>0</v>
      </c>
      <c r="EF75" s="320">
        <f t="shared" si="113"/>
        <v>0</v>
      </c>
      <c r="EG75" s="320">
        <f t="shared" si="113"/>
        <v>0</v>
      </c>
      <c r="EH75" s="320">
        <f t="shared" si="113"/>
        <v>0</v>
      </c>
      <c r="EI75" s="320">
        <f t="shared" si="49"/>
        <v>0</v>
      </c>
      <c r="EJ75" s="320">
        <f t="shared" si="50"/>
        <v>0</v>
      </c>
      <c r="EK75" s="321">
        <f t="shared" si="51"/>
        <v>0</v>
      </c>
    </row>
    <row r="76" spans="1:141">
      <c r="A76" s="21">
        <v>95</v>
      </c>
      <c r="B76" s="21">
        <v>100</v>
      </c>
      <c r="C76" s="21">
        <f t="shared" si="97"/>
        <v>97.5</v>
      </c>
      <c r="D76" s="21">
        <f t="shared" si="1"/>
        <v>0</v>
      </c>
      <c r="E76" s="28">
        <v>0</v>
      </c>
      <c r="F76" s="144">
        <f t="shared" si="114"/>
        <v>3.75</v>
      </c>
      <c r="G76" s="283">
        <f t="shared" si="52"/>
        <v>0</v>
      </c>
      <c r="H76" s="23">
        <f t="shared" si="3"/>
        <v>0</v>
      </c>
      <c r="I76" s="125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129"/>
      <c r="AZ76" s="119">
        <f t="shared" si="55"/>
        <v>0</v>
      </c>
      <c r="BA76" s="120">
        <f t="shared" si="56"/>
        <v>0</v>
      </c>
      <c r="BB76" s="120">
        <f t="shared" si="57"/>
        <v>0</v>
      </c>
      <c r="BC76" s="120">
        <f t="shared" si="58"/>
        <v>0</v>
      </c>
      <c r="BD76" s="120">
        <f t="shared" si="59"/>
        <v>0</v>
      </c>
      <c r="BE76" s="120">
        <f t="shared" si="60"/>
        <v>0</v>
      </c>
      <c r="BF76" s="120">
        <f t="shared" si="61"/>
        <v>0</v>
      </c>
      <c r="BG76" s="120">
        <f t="shared" si="62"/>
        <v>0</v>
      </c>
      <c r="BH76" s="120">
        <f t="shared" si="63"/>
        <v>0</v>
      </c>
      <c r="BI76" s="120">
        <f t="shared" si="64"/>
        <v>0</v>
      </c>
      <c r="BJ76" s="120">
        <f t="shared" si="65"/>
        <v>0</v>
      </c>
      <c r="BK76" s="120">
        <f t="shared" si="66"/>
        <v>0</v>
      </c>
      <c r="BL76" s="120">
        <f t="shared" si="67"/>
        <v>0</v>
      </c>
      <c r="BM76" s="120">
        <f t="shared" si="68"/>
        <v>0</v>
      </c>
      <c r="BN76" s="120">
        <f t="shared" si="69"/>
        <v>0</v>
      </c>
      <c r="BO76" s="120">
        <f t="shared" si="70"/>
        <v>0</v>
      </c>
      <c r="BP76" s="120">
        <f t="shared" si="71"/>
        <v>0</v>
      </c>
      <c r="BQ76" s="120">
        <f t="shared" si="72"/>
        <v>0</v>
      </c>
      <c r="BR76" s="120">
        <f t="shared" si="73"/>
        <v>0</v>
      </c>
      <c r="BS76" s="120">
        <f t="shared" si="74"/>
        <v>0</v>
      </c>
      <c r="BT76" s="120">
        <f t="shared" si="75"/>
        <v>0</v>
      </c>
      <c r="BU76" s="120">
        <f t="shared" si="76"/>
        <v>0</v>
      </c>
      <c r="BV76" s="120">
        <f t="shared" si="77"/>
        <v>0</v>
      </c>
      <c r="BW76" s="120">
        <f t="shared" si="78"/>
        <v>0</v>
      </c>
      <c r="BX76" s="120">
        <f t="shared" si="79"/>
        <v>0</v>
      </c>
      <c r="BY76" s="120">
        <f t="shared" si="80"/>
        <v>0</v>
      </c>
      <c r="BZ76" s="120">
        <f t="shared" si="81"/>
        <v>0</v>
      </c>
      <c r="CA76" s="120">
        <f t="shared" si="82"/>
        <v>0</v>
      </c>
      <c r="CB76" s="120">
        <f t="shared" si="83"/>
        <v>0</v>
      </c>
      <c r="CC76" s="120">
        <f t="shared" si="84"/>
        <v>0</v>
      </c>
      <c r="CD76" s="120">
        <f t="shared" si="85"/>
        <v>0</v>
      </c>
      <c r="CE76" s="120">
        <f t="shared" si="86"/>
        <v>0</v>
      </c>
      <c r="CF76" s="120">
        <f t="shared" si="87"/>
        <v>0</v>
      </c>
      <c r="CG76" s="120">
        <f t="shared" si="88"/>
        <v>0</v>
      </c>
      <c r="CH76" s="120">
        <f t="shared" si="89"/>
        <v>0</v>
      </c>
      <c r="CI76" s="120">
        <f t="shared" si="90"/>
        <v>0</v>
      </c>
      <c r="CJ76" s="120">
        <f t="shared" si="91"/>
        <v>0</v>
      </c>
      <c r="CK76" s="120">
        <f t="shared" si="92"/>
        <v>0</v>
      </c>
      <c r="CL76" s="120">
        <f t="shared" si="112"/>
        <v>0</v>
      </c>
      <c r="CM76" s="120">
        <f t="shared" si="112"/>
        <v>0</v>
      </c>
      <c r="CN76" s="120">
        <f t="shared" si="112"/>
        <v>0</v>
      </c>
      <c r="CO76" s="120">
        <f t="shared" si="7"/>
        <v>0</v>
      </c>
      <c r="CP76" s="120">
        <f t="shared" si="8"/>
        <v>0</v>
      </c>
      <c r="CQ76" s="120">
        <f t="shared" si="93"/>
        <v>0</v>
      </c>
      <c r="CR76" s="120">
        <f>SUM(CQ76:CQ80)</f>
        <v>0</v>
      </c>
      <c r="CS76" s="321">
        <f t="shared" si="9"/>
        <v>0</v>
      </c>
      <c r="CT76" s="319">
        <f t="shared" si="10"/>
        <v>0</v>
      </c>
      <c r="CU76" s="320">
        <f t="shared" si="11"/>
        <v>0</v>
      </c>
      <c r="CV76" s="320">
        <f t="shared" si="12"/>
        <v>0</v>
      </c>
      <c r="CW76" s="320">
        <f t="shared" si="13"/>
        <v>0</v>
      </c>
      <c r="CX76" s="320">
        <f t="shared" si="14"/>
        <v>0</v>
      </c>
      <c r="CY76" s="320">
        <f t="shared" si="15"/>
        <v>0</v>
      </c>
      <c r="CZ76" s="320">
        <f t="shared" si="16"/>
        <v>0</v>
      </c>
      <c r="DA76" s="320">
        <f t="shared" si="17"/>
        <v>0</v>
      </c>
      <c r="DB76" s="320">
        <f t="shared" si="18"/>
        <v>0</v>
      </c>
      <c r="DC76" s="320">
        <f t="shared" si="19"/>
        <v>0</v>
      </c>
      <c r="DD76" s="320">
        <f t="shared" si="20"/>
        <v>0</v>
      </c>
      <c r="DE76" s="320">
        <f t="shared" si="21"/>
        <v>0</v>
      </c>
      <c r="DF76" s="320">
        <f t="shared" si="22"/>
        <v>0</v>
      </c>
      <c r="DG76" s="320">
        <f t="shared" si="23"/>
        <v>0</v>
      </c>
      <c r="DH76" s="320">
        <f t="shared" si="24"/>
        <v>0</v>
      </c>
      <c r="DI76" s="320">
        <f t="shared" si="25"/>
        <v>0</v>
      </c>
      <c r="DJ76" s="320">
        <f t="shared" si="26"/>
        <v>0</v>
      </c>
      <c r="DK76" s="320">
        <f t="shared" si="27"/>
        <v>0</v>
      </c>
      <c r="DL76" s="320">
        <f t="shared" si="28"/>
        <v>0</v>
      </c>
      <c r="DM76" s="320">
        <f t="shared" si="29"/>
        <v>0</v>
      </c>
      <c r="DN76" s="320">
        <f t="shared" si="30"/>
        <v>0</v>
      </c>
      <c r="DO76" s="320">
        <f t="shared" si="31"/>
        <v>0</v>
      </c>
      <c r="DP76" s="320">
        <f t="shared" si="32"/>
        <v>0</v>
      </c>
      <c r="DQ76" s="320">
        <f t="shared" si="33"/>
        <v>0</v>
      </c>
      <c r="DR76" s="320">
        <f t="shared" si="34"/>
        <v>0</v>
      </c>
      <c r="DS76" s="320">
        <f t="shared" si="35"/>
        <v>0</v>
      </c>
      <c r="DT76" s="320">
        <f t="shared" si="36"/>
        <v>0</v>
      </c>
      <c r="DU76" s="320">
        <f t="shared" si="37"/>
        <v>0</v>
      </c>
      <c r="DV76" s="320">
        <f t="shared" si="38"/>
        <v>0</v>
      </c>
      <c r="DW76" s="320">
        <f t="shared" si="39"/>
        <v>0</v>
      </c>
      <c r="DX76" s="320">
        <f t="shared" si="40"/>
        <v>0</v>
      </c>
      <c r="DY76" s="320">
        <f t="shared" si="41"/>
        <v>0</v>
      </c>
      <c r="DZ76" s="320">
        <f t="shared" si="42"/>
        <v>0</v>
      </c>
      <c r="EA76" s="320">
        <f t="shared" si="43"/>
        <v>0</v>
      </c>
      <c r="EB76" s="320">
        <f t="shared" si="44"/>
        <v>0</v>
      </c>
      <c r="EC76" s="320">
        <f t="shared" si="45"/>
        <v>0</v>
      </c>
      <c r="ED76" s="320">
        <f t="shared" si="46"/>
        <v>0</v>
      </c>
      <c r="EE76" s="320">
        <f t="shared" si="47"/>
        <v>0</v>
      </c>
      <c r="EF76" s="320">
        <f t="shared" si="113"/>
        <v>0</v>
      </c>
      <c r="EG76" s="320">
        <f t="shared" si="113"/>
        <v>0</v>
      </c>
      <c r="EH76" s="320">
        <f t="shared" si="113"/>
        <v>0</v>
      </c>
      <c r="EI76" s="320">
        <f t="shared" si="49"/>
        <v>0</v>
      </c>
      <c r="EJ76" s="320">
        <f t="shared" si="50"/>
        <v>0</v>
      </c>
      <c r="EK76" s="321">
        <f t="shared" si="51"/>
        <v>0</v>
      </c>
    </row>
    <row r="77" spans="1:141">
      <c r="A77" s="28">
        <v>100</v>
      </c>
      <c r="B77" s="28">
        <v>105</v>
      </c>
      <c r="C77" s="28">
        <f t="shared" si="97"/>
        <v>102.5</v>
      </c>
      <c r="D77" s="21">
        <f t="shared" si="1"/>
        <v>0</v>
      </c>
      <c r="E77" s="28">
        <v>0</v>
      </c>
      <c r="F77" s="144">
        <f t="shared" si="114"/>
        <v>3.75</v>
      </c>
      <c r="G77" s="283">
        <f t="shared" si="52"/>
        <v>0</v>
      </c>
      <c r="H77" s="23">
        <f t="shared" si="3"/>
        <v>0</v>
      </c>
      <c r="I77" s="125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129"/>
      <c r="AZ77" s="119">
        <f t="shared" si="55"/>
        <v>0</v>
      </c>
      <c r="BA77" s="120">
        <f t="shared" si="56"/>
        <v>0</v>
      </c>
      <c r="BB77" s="120">
        <f t="shared" si="57"/>
        <v>0</v>
      </c>
      <c r="BC77" s="120">
        <f t="shared" si="58"/>
        <v>0</v>
      </c>
      <c r="BD77" s="120">
        <f t="shared" si="59"/>
        <v>0</v>
      </c>
      <c r="BE77" s="120">
        <f t="shared" si="60"/>
        <v>0</v>
      </c>
      <c r="BF77" s="120">
        <f t="shared" si="61"/>
        <v>0</v>
      </c>
      <c r="BG77" s="120">
        <f t="shared" si="62"/>
        <v>0</v>
      </c>
      <c r="BH77" s="120">
        <f t="shared" si="63"/>
        <v>0</v>
      </c>
      <c r="BI77" s="120">
        <f t="shared" si="64"/>
        <v>0</v>
      </c>
      <c r="BJ77" s="120">
        <f t="shared" si="65"/>
        <v>0</v>
      </c>
      <c r="BK77" s="120">
        <f t="shared" si="66"/>
        <v>0</v>
      </c>
      <c r="BL77" s="120">
        <f t="shared" si="67"/>
        <v>0</v>
      </c>
      <c r="BM77" s="120">
        <f t="shared" si="68"/>
        <v>0</v>
      </c>
      <c r="BN77" s="120">
        <f t="shared" si="69"/>
        <v>0</v>
      </c>
      <c r="BO77" s="120">
        <f t="shared" si="70"/>
        <v>0</v>
      </c>
      <c r="BP77" s="120">
        <f t="shared" si="71"/>
        <v>0</v>
      </c>
      <c r="BQ77" s="120">
        <f t="shared" si="72"/>
        <v>0</v>
      </c>
      <c r="BR77" s="120">
        <f t="shared" si="73"/>
        <v>0</v>
      </c>
      <c r="BS77" s="120">
        <f t="shared" si="74"/>
        <v>0</v>
      </c>
      <c r="BT77" s="120">
        <f t="shared" si="75"/>
        <v>0</v>
      </c>
      <c r="BU77" s="120">
        <f t="shared" si="76"/>
        <v>0</v>
      </c>
      <c r="BV77" s="120">
        <f t="shared" si="77"/>
        <v>0</v>
      </c>
      <c r="BW77" s="120">
        <f t="shared" si="78"/>
        <v>0</v>
      </c>
      <c r="BX77" s="120">
        <f t="shared" si="79"/>
        <v>0</v>
      </c>
      <c r="BY77" s="120">
        <f t="shared" si="80"/>
        <v>0</v>
      </c>
      <c r="BZ77" s="120">
        <f t="shared" si="81"/>
        <v>0</v>
      </c>
      <c r="CA77" s="120">
        <f t="shared" si="82"/>
        <v>0</v>
      </c>
      <c r="CB77" s="120">
        <f t="shared" si="83"/>
        <v>0</v>
      </c>
      <c r="CC77" s="120">
        <f t="shared" si="84"/>
        <v>0</v>
      </c>
      <c r="CD77" s="120">
        <f t="shared" si="85"/>
        <v>0</v>
      </c>
      <c r="CE77" s="120">
        <f t="shared" si="86"/>
        <v>0</v>
      </c>
      <c r="CF77" s="120">
        <f t="shared" si="87"/>
        <v>0</v>
      </c>
      <c r="CG77" s="120">
        <f t="shared" si="88"/>
        <v>0</v>
      </c>
      <c r="CH77" s="120">
        <f t="shared" si="89"/>
        <v>0</v>
      </c>
      <c r="CI77" s="120">
        <f t="shared" si="90"/>
        <v>0</v>
      </c>
      <c r="CJ77" s="120">
        <f t="shared" si="91"/>
        <v>0</v>
      </c>
      <c r="CK77" s="120">
        <f t="shared" si="92"/>
        <v>0</v>
      </c>
      <c r="CL77" s="120">
        <f t="shared" si="112"/>
        <v>0</v>
      </c>
      <c r="CM77" s="120">
        <f t="shared" si="112"/>
        <v>0</v>
      </c>
      <c r="CN77" s="120">
        <f t="shared" si="112"/>
        <v>0</v>
      </c>
      <c r="CO77" s="120">
        <f t="shared" si="7"/>
        <v>0</v>
      </c>
      <c r="CP77" s="120">
        <f t="shared" si="8"/>
        <v>0</v>
      </c>
      <c r="CQ77" s="120">
        <f t="shared" si="93"/>
        <v>0</v>
      </c>
      <c r="CR77" s="120">
        <f>SUM(CQ77:CQ80)</f>
        <v>0</v>
      </c>
      <c r="CS77" s="321">
        <f t="shared" si="9"/>
        <v>0</v>
      </c>
      <c r="CT77" s="319">
        <f t="shared" si="10"/>
        <v>0</v>
      </c>
      <c r="CU77" s="320">
        <f t="shared" si="11"/>
        <v>0</v>
      </c>
      <c r="CV77" s="320">
        <f t="shared" si="12"/>
        <v>0</v>
      </c>
      <c r="CW77" s="320">
        <f t="shared" si="13"/>
        <v>0</v>
      </c>
      <c r="CX77" s="320">
        <f t="shared" si="14"/>
        <v>0</v>
      </c>
      <c r="CY77" s="320">
        <f t="shared" si="15"/>
        <v>0</v>
      </c>
      <c r="CZ77" s="320">
        <f t="shared" si="16"/>
        <v>0</v>
      </c>
      <c r="DA77" s="320">
        <f t="shared" si="17"/>
        <v>0</v>
      </c>
      <c r="DB77" s="320">
        <f t="shared" si="18"/>
        <v>0</v>
      </c>
      <c r="DC77" s="320">
        <f t="shared" si="19"/>
        <v>0</v>
      </c>
      <c r="DD77" s="320">
        <f t="shared" si="20"/>
        <v>0</v>
      </c>
      <c r="DE77" s="320">
        <f t="shared" si="21"/>
        <v>0</v>
      </c>
      <c r="DF77" s="320">
        <f t="shared" si="22"/>
        <v>0</v>
      </c>
      <c r="DG77" s="320">
        <f t="shared" si="23"/>
        <v>0</v>
      </c>
      <c r="DH77" s="320">
        <f t="shared" si="24"/>
        <v>0</v>
      </c>
      <c r="DI77" s="320">
        <f t="shared" si="25"/>
        <v>0</v>
      </c>
      <c r="DJ77" s="320">
        <f t="shared" si="26"/>
        <v>0</v>
      </c>
      <c r="DK77" s="320">
        <f t="shared" si="27"/>
        <v>0</v>
      </c>
      <c r="DL77" s="320">
        <f t="shared" si="28"/>
        <v>0</v>
      </c>
      <c r="DM77" s="320">
        <f t="shared" si="29"/>
        <v>0</v>
      </c>
      <c r="DN77" s="320">
        <f t="shared" si="30"/>
        <v>0</v>
      </c>
      <c r="DO77" s="320">
        <f t="shared" si="31"/>
        <v>0</v>
      </c>
      <c r="DP77" s="320">
        <f t="shared" si="32"/>
        <v>0</v>
      </c>
      <c r="DQ77" s="320">
        <f t="shared" si="33"/>
        <v>0</v>
      </c>
      <c r="DR77" s="320">
        <f t="shared" si="34"/>
        <v>0</v>
      </c>
      <c r="DS77" s="320">
        <f t="shared" si="35"/>
        <v>0</v>
      </c>
      <c r="DT77" s="320">
        <f t="shared" si="36"/>
        <v>0</v>
      </c>
      <c r="DU77" s="320">
        <f t="shared" si="37"/>
        <v>0</v>
      </c>
      <c r="DV77" s="320">
        <f t="shared" si="38"/>
        <v>0</v>
      </c>
      <c r="DW77" s="320">
        <f t="shared" si="39"/>
        <v>0</v>
      </c>
      <c r="DX77" s="320">
        <f t="shared" si="40"/>
        <v>0</v>
      </c>
      <c r="DY77" s="320">
        <f t="shared" si="41"/>
        <v>0</v>
      </c>
      <c r="DZ77" s="320">
        <f t="shared" si="42"/>
        <v>0</v>
      </c>
      <c r="EA77" s="320">
        <f t="shared" si="43"/>
        <v>0</v>
      </c>
      <c r="EB77" s="320">
        <f t="shared" si="44"/>
        <v>0</v>
      </c>
      <c r="EC77" s="320">
        <f t="shared" si="45"/>
        <v>0</v>
      </c>
      <c r="ED77" s="320">
        <f t="shared" si="46"/>
        <v>0</v>
      </c>
      <c r="EE77" s="320">
        <f t="shared" si="47"/>
        <v>0</v>
      </c>
      <c r="EF77" s="320">
        <f t="shared" si="113"/>
        <v>0</v>
      </c>
      <c r="EG77" s="320">
        <f t="shared" si="113"/>
        <v>0</v>
      </c>
      <c r="EH77" s="320">
        <f t="shared" si="113"/>
        <v>0</v>
      </c>
      <c r="EI77" s="320">
        <f t="shared" si="49"/>
        <v>0</v>
      </c>
      <c r="EJ77" s="320">
        <f t="shared" si="50"/>
        <v>0</v>
      </c>
      <c r="EK77" s="321">
        <f t="shared" si="51"/>
        <v>0</v>
      </c>
    </row>
    <row r="78" spans="1:141">
      <c r="A78" s="28">
        <v>105</v>
      </c>
      <c r="B78" s="28">
        <v>110</v>
      </c>
      <c r="C78" s="28">
        <f t="shared" si="97"/>
        <v>107.5</v>
      </c>
      <c r="D78" s="21">
        <f t="shared" si="1"/>
        <v>0</v>
      </c>
      <c r="E78" s="28">
        <v>0</v>
      </c>
      <c r="F78" s="144">
        <f t="shared" si="114"/>
        <v>3.75</v>
      </c>
      <c r="G78" s="283">
        <f t="shared" si="52"/>
        <v>0</v>
      </c>
      <c r="H78" s="23">
        <f t="shared" si="3"/>
        <v>0</v>
      </c>
      <c r="I78" s="125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129"/>
      <c r="AZ78" s="119">
        <f t="shared" si="55"/>
        <v>0</v>
      </c>
      <c r="BA78" s="120">
        <f t="shared" si="56"/>
        <v>0</v>
      </c>
      <c r="BB78" s="120">
        <f t="shared" si="57"/>
        <v>0</v>
      </c>
      <c r="BC78" s="120">
        <f t="shared" si="58"/>
        <v>0</v>
      </c>
      <c r="BD78" s="120">
        <f t="shared" si="59"/>
        <v>0</v>
      </c>
      <c r="BE78" s="120">
        <f t="shared" si="60"/>
        <v>0</v>
      </c>
      <c r="BF78" s="120">
        <f t="shared" si="61"/>
        <v>0</v>
      </c>
      <c r="BG78" s="120">
        <f t="shared" si="62"/>
        <v>0</v>
      </c>
      <c r="BH78" s="120">
        <f t="shared" si="63"/>
        <v>0</v>
      </c>
      <c r="BI78" s="120">
        <f t="shared" si="64"/>
        <v>0</v>
      </c>
      <c r="BJ78" s="120">
        <f t="shared" si="65"/>
        <v>0</v>
      </c>
      <c r="BK78" s="120">
        <f t="shared" si="66"/>
        <v>0</v>
      </c>
      <c r="BL78" s="120">
        <f t="shared" si="67"/>
        <v>0</v>
      </c>
      <c r="BM78" s="120">
        <f t="shared" si="68"/>
        <v>0</v>
      </c>
      <c r="BN78" s="120">
        <f t="shared" si="69"/>
        <v>0</v>
      </c>
      <c r="BO78" s="120">
        <f t="shared" si="70"/>
        <v>0</v>
      </c>
      <c r="BP78" s="120">
        <f t="shared" si="71"/>
        <v>0</v>
      </c>
      <c r="BQ78" s="120">
        <f t="shared" si="72"/>
        <v>0</v>
      </c>
      <c r="BR78" s="120">
        <f t="shared" si="73"/>
        <v>0</v>
      </c>
      <c r="BS78" s="120">
        <f t="shared" si="74"/>
        <v>0</v>
      </c>
      <c r="BT78" s="120">
        <f t="shared" si="75"/>
        <v>0</v>
      </c>
      <c r="BU78" s="120">
        <f t="shared" si="76"/>
        <v>0</v>
      </c>
      <c r="BV78" s="120">
        <f t="shared" si="77"/>
        <v>0</v>
      </c>
      <c r="BW78" s="120">
        <f t="shared" si="78"/>
        <v>0</v>
      </c>
      <c r="BX78" s="120">
        <f t="shared" si="79"/>
        <v>0</v>
      </c>
      <c r="BY78" s="120">
        <f t="shared" si="80"/>
        <v>0</v>
      </c>
      <c r="BZ78" s="120">
        <f t="shared" si="81"/>
        <v>0</v>
      </c>
      <c r="CA78" s="120">
        <f t="shared" si="82"/>
        <v>0</v>
      </c>
      <c r="CB78" s="120">
        <f t="shared" si="83"/>
        <v>0</v>
      </c>
      <c r="CC78" s="120">
        <f t="shared" si="84"/>
        <v>0</v>
      </c>
      <c r="CD78" s="120">
        <f t="shared" si="85"/>
        <v>0</v>
      </c>
      <c r="CE78" s="120">
        <f t="shared" si="86"/>
        <v>0</v>
      </c>
      <c r="CF78" s="120">
        <f t="shared" si="87"/>
        <v>0</v>
      </c>
      <c r="CG78" s="120">
        <f t="shared" si="88"/>
        <v>0</v>
      </c>
      <c r="CH78" s="120">
        <f t="shared" si="89"/>
        <v>0</v>
      </c>
      <c r="CI78" s="120">
        <f t="shared" si="90"/>
        <v>0</v>
      </c>
      <c r="CJ78" s="120">
        <f t="shared" si="91"/>
        <v>0</v>
      </c>
      <c r="CK78" s="120">
        <f t="shared" si="92"/>
        <v>0</v>
      </c>
      <c r="CL78" s="120">
        <f t="shared" si="112"/>
        <v>0</v>
      </c>
      <c r="CM78" s="120">
        <f t="shared" si="112"/>
        <v>0</v>
      </c>
      <c r="CN78" s="120">
        <f t="shared" si="112"/>
        <v>0</v>
      </c>
      <c r="CO78" s="120">
        <f t="shared" si="7"/>
        <v>0</v>
      </c>
      <c r="CP78" s="120">
        <f t="shared" si="8"/>
        <v>0</v>
      </c>
      <c r="CQ78" s="120">
        <f t="shared" si="93"/>
        <v>0</v>
      </c>
      <c r="CR78" s="120">
        <f>SUM(CQ78:CQ80)</f>
        <v>0</v>
      </c>
      <c r="CS78" s="321">
        <f t="shared" si="9"/>
        <v>0</v>
      </c>
      <c r="CT78" s="319">
        <f t="shared" si="10"/>
        <v>0</v>
      </c>
      <c r="CU78" s="320">
        <f t="shared" si="11"/>
        <v>0</v>
      </c>
      <c r="CV78" s="320">
        <f t="shared" si="12"/>
        <v>0</v>
      </c>
      <c r="CW78" s="320">
        <f t="shared" si="13"/>
        <v>0</v>
      </c>
      <c r="CX78" s="320">
        <f t="shared" si="14"/>
        <v>0</v>
      </c>
      <c r="CY78" s="320">
        <f t="shared" si="15"/>
        <v>0</v>
      </c>
      <c r="CZ78" s="320">
        <f t="shared" si="16"/>
        <v>0</v>
      </c>
      <c r="DA78" s="320">
        <f t="shared" si="17"/>
        <v>0</v>
      </c>
      <c r="DB78" s="320">
        <f t="shared" si="18"/>
        <v>0</v>
      </c>
      <c r="DC78" s="320">
        <f t="shared" si="19"/>
        <v>0</v>
      </c>
      <c r="DD78" s="320">
        <f t="shared" si="20"/>
        <v>0</v>
      </c>
      <c r="DE78" s="320">
        <f t="shared" si="21"/>
        <v>0</v>
      </c>
      <c r="DF78" s="320">
        <f t="shared" si="22"/>
        <v>0</v>
      </c>
      <c r="DG78" s="320">
        <f t="shared" si="23"/>
        <v>0</v>
      </c>
      <c r="DH78" s="320">
        <f t="shared" si="24"/>
        <v>0</v>
      </c>
      <c r="DI78" s="320">
        <f t="shared" si="25"/>
        <v>0</v>
      </c>
      <c r="DJ78" s="320">
        <f t="shared" si="26"/>
        <v>0</v>
      </c>
      <c r="DK78" s="320">
        <f t="shared" si="27"/>
        <v>0</v>
      </c>
      <c r="DL78" s="320">
        <f t="shared" si="28"/>
        <v>0</v>
      </c>
      <c r="DM78" s="320">
        <f t="shared" si="29"/>
        <v>0</v>
      </c>
      <c r="DN78" s="320">
        <f t="shared" si="30"/>
        <v>0</v>
      </c>
      <c r="DO78" s="320">
        <f t="shared" si="31"/>
        <v>0</v>
      </c>
      <c r="DP78" s="320">
        <f t="shared" si="32"/>
        <v>0</v>
      </c>
      <c r="DQ78" s="320">
        <f t="shared" si="33"/>
        <v>0</v>
      </c>
      <c r="DR78" s="320">
        <f t="shared" si="34"/>
        <v>0</v>
      </c>
      <c r="DS78" s="320">
        <f t="shared" si="35"/>
        <v>0</v>
      </c>
      <c r="DT78" s="320">
        <f t="shared" si="36"/>
        <v>0</v>
      </c>
      <c r="DU78" s="320">
        <f t="shared" si="37"/>
        <v>0</v>
      </c>
      <c r="DV78" s="320">
        <f t="shared" si="38"/>
        <v>0</v>
      </c>
      <c r="DW78" s="320">
        <f t="shared" si="39"/>
        <v>0</v>
      </c>
      <c r="DX78" s="320">
        <f t="shared" si="40"/>
        <v>0</v>
      </c>
      <c r="DY78" s="320">
        <f t="shared" si="41"/>
        <v>0</v>
      </c>
      <c r="DZ78" s="320">
        <f t="shared" si="42"/>
        <v>0</v>
      </c>
      <c r="EA78" s="320">
        <f t="shared" si="43"/>
        <v>0</v>
      </c>
      <c r="EB78" s="320">
        <f t="shared" si="44"/>
        <v>0</v>
      </c>
      <c r="EC78" s="320">
        <f t="shared" si="45"/>
        <v>0</v>
      </c>
      <c r="ED78" s="320">
        <f t="shared" si="46"/>
        <v>0</v>
      </c>
      <c r="EE78" s="320">
        <f t="shared" si="47"/>
        <v>0</v>
      </c>
      <c r="EF78" s="320">
        <f t="shared" si="113"/>
        <v>0</v>
      </c>
      <c r="EG78" s="320">
        <f t="shared" si="113"/>
        <v>0</v>
      </c>
      <c r="EH78" s="320">
        <f t="shared" si="113"/>
        <v>0</v>
      </c>
      <c r="EI78" s="320">
        <f t="shared" si="49"/>
        <v>0</v>
      </c>
      <c r="EJ78" s="320">
        <f t="shared" si="50"/>
        <v>0</v>
      </c>
      <c r="EK78" s="321">
        <f t="shared" si="51"/>
        <v>0</v>
      </c>
    </row>
    <row r="79" spans="1:141">
      <c r="A79" s="28">
        <v>110</v>
      </c>
      <c r="B79" s="28">
        <v>115</v>
      </c>
      <c r="C79" s="28">
        <f t="shared" si="97"/>
        <v>112.5</v>
      </c>
      <c r="D79" s="21">
        <f t="shared" si="1"/>
        <v>0</v>
      </c>
      <c r="E79" s="28">
        <v>0</v>
      </c>
      <c r="F79" s="144">
        <f t="shared" si="114"/>
        <v>3.75</v>
      </c>
      <c r="G79" s="283">
        <f t="shared" si="52"/>
        <v>0</v>
      </c>
      <c r="H79" s="23">
        <f t="shared" si="3"/>
        <v>0</v>
      </c>
      <c r="I79" s="125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129"/>
      <c r="AZ79" s="119">
        <f t="shared" si="55"/>
        <v>0</v>
      </c>
      <c r="BA79" s="120">
        <f t="shared" si="56"/>
        <v>0</v>
      </c>
      <c r="BB79" s="120">
        <f t="shared" si="57"/>
        <v>0</v>
      </c>
      <c r="BC79" s="120">
        <f t="shared" si="58"/>
        <v>0</v>
      </c>
      <c r="BD79" s="120">
        <f t="shared" si="59"/>
        <v>0</v>
      </c>
      <c r="BE79" s="120">
        <f t="shared" si="60"/>
        <v>0</v>
      </c>
      <c r="BF79" s="120">
        <f t="shared" si="61"/>
        <v>0</v>
      </c>
      <c r="BG79" s="120">
        <f t="shared" si="62"/>
        <v>0</v>
      </c>
      <c r="BH79" s="120">
        <f t="shared" si="63"/>
        <v>0</v>
      </c>
      <c r="BI79" s="120">
        <f t="shared" si="64"/>
        <v>0</v>
      </c>
      <c r="BJ79" s="120">
        <f t="shared" si="65"/>
        <v>0</v>
      </c>
      <c r="BK79" s="120">
        <f t="shared" si="66"/>
        <v>0</v>
      </c>
      <c r="BL79" s="120">
        <f t="shared" si="67"/>
        <v>0</v>
      </c>
      <c r="BM79" s="120">
        <f t="shared" si="68"/>
        <v>0</v>
      </c>
      <c r="BN79" s="120">
        <f t="shared" si="69"/>
        <v>0</v>
      </c>
      <c r="BO79" s="120">
        <f t="shared" si="70"/>
        <v>0</v>
      </c>
      <c r="BP79" s="120">
        <f t="shared" si="71"/>
        <v>0</v>
      </c>
      <c r="BQ79" s="120">
        <f t="shared" si="72"/>
        <v>0</v>
      </c>
      <c r="BR79" s="120">
        <f t="shared" si="73"/>
        <v>0</v>
      </c>
      <c r="BS79" s="120">
        <f t="shared" si="74"/>
        <v>0</v>
      </c>
      <c r="BT79" s="120">
        <f t="shared" si="75"/>
        <v>0</v>
      </c>
      <c r="BU79" s="120">
        <f t="shared" si="76"/>
        <v>0</v>
      </c>
      <c r="BV79" s="120">
        <f t="shared" si="77"/>
        <v>0</v>
      </c>
      <c r="BW79" s="120">
        <f t="shared" si="78"/>
        <v>0</v>
      </c>
      <c r="BX79" s="120">
        <f t="shared" si="79"/>
        <v>0</v>
      </c>
      <c r="BY79" s="120">
        <f t="shared" si="80"/>
        <v>0</v>
      </c>
      <c r="BZ79" s="120">
        <f t="shared" si="81"/>
        <v>0</v>
      </c>
      <c r="CA79" s="120">
        <f t="shared" si="82"/>
        <v>0</v>
      </c>
      <c r="CB79" s="120">
        <f t="shared" si="83"/>
        <v>0</v>
      </c>
      <c r="CC79" s="120">
        <f t="shared" si="84"/>
        <v>0</v>
      </c>
      <c r="CD79" s="120">
        <f t="shared" si="85"/>
        <v>0</v>
      </c>
      <c r="CE79" s="120">
        <f t="shared" si="86"/>
        <v>0</v>
      </c>
      <c r="CF79" s="120">
        <f t="shared" si="87"/>
        <v>0</v>
      </c>
      <c r="CG79" s="120">
        <f t="shared" si="88"/>
        <v>0</v>
      </c>
      <c r="CH79" s="120">
        <f t="shared" si="89"/>
        <v>0</v>
      </c>
      <c r="CI79" s="120">
        <f t="shared" si="90"/>
        <v>0</v>
      </c>
      <c r="CJ79" s="120">
        <f t="shared" si="91"/>
        <v>0</v>
      </c>
      <c r="CK79" s="120">
        <f t="shared" si="92"/>
        <v>0</v>
      </c>
      <c r="CL79" s="120">
        <f t="shared" si="112"/>
        <v>0</v>
      </c>
      <c r="CM79" s="120">
        <f t="shared" si="112"/>
        <v>0</v>
      </c>
      <c r="CN79" s="120">
        <f t="shared" si="112"/>
        <v>0</v>
      </c>
      <c r="CO79" s="120">
        <f t="shared" si="7"/>
        <v>0</v>
      </c>
      <c r="CP79" s="120">
        <f t="shared" si="8"/>
        <v>0</v>
      </c>
      <c r="CQ79" s="120">
        <f t="shared" si="93"/>
        <v>0</v>
      </c>
      <c r="CR79" s="120">
        <f>SUM(CQ79:CQ80)</f>
        <v>0</v>
      </c>
      <c r="CS79" s="321">
        <f t="shared" si="9"/>
        <v>0</v>
      </c>
      <c r="CT79" s="319">
        <f t="shared" si="10"/>
        <v>0</v>
      </c>
      <c r="CU79" s="320">
        <f t="shared" si="11"/>
        <v>0</v>
      </c>
      <c r="CV79" s="320">
        <f t="shared" si="12"/>
        <v>0</v>
      </c>
      <c r="CW79" s="320">
        <f t="shared" si="13"/>
        <v>0</v>
      </c>
      <c r="CX79" s="320">
        <f t="shared" si="14"/>
        <v>0</v>
      </c>
      <c r="CY79" s="320">
        <f t="shared" si="15"/>
        <v>0</v>
      </c>
      <c r="CZ79" s="320">
        <f t="shared" si="16"/>
        <v>0</v>
      </c>
      <c r="DA79" s="320">
        <f t="shared" si="17"/>
        <v>0</v>
      </c>
      <c r="DB79" s="320">
        <f t="shared" si="18"/>
        <v>0</v>
      </c>
      <c r="DC79" s="320">
        <f t="shared" si="19"/>
        <v>0</v>
      </c>
      <c r="DD79" s="320">
        <f t="shared" si="20"/>
        <v>0</v>
      </c>
      <c r="DE79" s="320">
        <f t="shared" si="21"/>
        <v>0</v>
      </c>
      <c r="DF79" s="320">
        <f t="shared" si="22"/>
        <v>0</v>
      </c>
      <c r="DG79" s="320">
        <f t="shared" si="23"/>
        <v>0</v>
      </c>
      <c r="DH79" s="320">
        <f t="shared" si="24"/>
        <v>0</v>
      </c>
      <c r="DI79" s="320">
        <f t="shared" si="25"/>
        <v>0</v>
      </c>
      <c r="DJ79" s="320">
        <f t="shared" si="26"/>
        <v>0</v>
      </c>
      <c r="DK79" s="320">
        <f t="shared" si="27"/>
        <v>0</v>
      </c>
      <c r="DL79" s="320">
        <f t="shared" si="28"/>
        <v>0</v>
      </c>
      <c r="DM79" s="320">
        <f t="shared" si="29"/>
        <v>0</v>
      </c>
      <c r="DN79" s="320">
        <f t="shared" si="30"/>
        <v>0</v>
      </c>
      <c r="DO79" s="320">
        <f t="shared" si="31"/>
        <v>0</v>
      </c>
      <c r="DP79" s="320">
        <f t="shared" si="32"/>
        <v>0</v>
      </c>
      <c r="DQ79" s="320">
        <f t="shared" si="33"/>
        <v>0</v>
      </c>
      <c r="DR79" s="320">
        <f t="shared" si="34"/>
        <v>0</v>
      </c>
      <c r="DS79" s="320">
        <f t="shared" si="35"/>
        <v>0</v>
      </c>
      <c r="DT79" s="320">
        <f t="shared" si="36"/>
        <v>0</v>
      </c>
      <c r="DU79" s="320">
        <f t="shared" si="37"/>
        <v>0</v>
      </c>
      <c r="DV79" s="320">
        <f t="shared" si="38"/>
        <v>0</v>
      </c>
      <c r="DW79" s="320">
        <f t="shared" si="39"/>
        <v>0</v>
      </c>
      <c r="DX79" s="320">
        <f t="shared" si="40"/>
        <v>0</v>
      </c>
      <c r="DY79" s="320">
        <f t="shared" si="41"/>
        <v>0</v>
      </c>
      <c r="DZ79" s="320">
        <f t="shared" si="42"/>
        <v>0</v>
      </c>
      <c r="EA79" s="320">
        <f t="shared" si="43"/>
        <v>0</v>
      </c>
      <c r="EB79" s="320">
        <f t="shared" si="44"/>
        <v>0</v>
      </c>
      <c r="EC79" s="320">
        <f t="shared" si="45"/>
        <v>0</v>
      </c>
      <c r="ED79" s="320">
        <f t="shared" si="46"/>
        <v>0</v>
      </c>
      <c r="EE79" s="320">
        <f t="shared" si="47"/>
        <v>0</v>
      </c>
      <c r="EF79" s="320">
        <f t="shared" si="113"/>
        <v>0</v>
      </c>
      <c r="EG79" s="320">
        <f t="shared" si="113"/>
        <v>0</v>
      </c>
      <c r="EH79" s="320">
        <f t="shared" si="113"/>
        <v>0</v>
      </c>
      <c r="EI79" s="320">
        <f t="shared" si="49"/>
        <v>0</v>
      </c>
      <c r="EJ79" s="320">
        <f t="shared" si="50"/>
        <v>0</v>
      </c>
      <c r="EK79" s="321">
        <f t="shared" si="51"/>
        <v>0</v>
      </c>
    </row>
    <row r="80" spans="1:141">
      <c r="A80" s="29">
        <v>115</v>
      </c>
      <c r="B80" s="29">
        <v>120</v>
      </c>
      <c r="C80" s="29">
        <f t="shared" si="97"/>
        <v>117.5</v>
      </c>
      <c r="D80" s="24">
        <f t="shared" si="1"/>
        <v>0</v>
      </c>
      <c r="E80" s="24">
        <v>0</v>
      </c>
      <c r="F80" s="145">
        <f t="shared" si="114"/>
        <v>3.75</v>
      </c>
      <c r="G80" s="288">
        <f t="shared" si="52"/>
        <v>0</v>
      </c>
      <c r="H80" s="26">
        <f t="shared" si="3"/>
        <v>0</v>
      </c>
      <c r="I80" s="163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325"/>
      <c r="AZ80" s="122">
        <f t="shared" si="55"/>
        <v>0</v>
      </c>
      <c r="BA80" s="123">
        <f t="shared" si="56"/>
        <v>0</v>
      </c>
      <c r="BB80" s="123">
        <f t="shared" si="57"/>
        <v>0</v>
      </c>
      <c r="BC80" s="123">
        <f t="shared" si="58"/>
        <v>0</v>
      </c>
      <c r="BD80" s="123">
        <f t="shared" si="59"/>
        <v>0</v>
      </c>
      <c r="BE80" s="123">
        <f t="shared" si="60"/>
        <v>0</v>
      </c>
      <c r="BF80" s="123">
        <f t="shared" si="61"/>
        <v>0</v>
      </c>
      <c r="BG80" s="123">
        <f t="shared" si="62"/>
        <v>0</v>
      </c>
      <c r="BH80" s="123">
        <f t="shared" si="63"/>
        <v>0</v>
      </c>
      <c r="BI80" s="123">
        <f t="shared" si="64"/>
        <v>0</v>
      </c>
      <c r="BJ80" s="123">
        <f t="shared" si="65"/>
        <v>0</v>
      </c>
      <c r="BK80" s="123">
        <f t="shared" si="66"/>
        <v>0</v>
      </c>
      <c r="BL80" s="123">
        <f t="shared" si="67"/>
        <v>0</v>
      </c>
      <c r="BM80" s="123">
        <f t="shared" si="68"/>
        <v>0</v>
      </c>
      <c r="BN80" s="123">
        <f t="shared" si="69"/>
        <v>0</v>
      </c>
      <c r="BO80" s="123">
        <f t="shared" si="70"/>
        <v>0</v>
      </c>
      <c r="BP80" s="123">
        <f t="shared" si="71"/>
        <v>0</v>
      </c>
      <c r="BQ80" s="123">
        <f t="shared" si="72"/>
        <v>0</v>
      </c>
      <c r="BR80" s="123">
        <f t="shared" si="73"/>
        <v>0</v>
      </c>
      <c r="BS80" s="123">
        <f t="shared" si="74"/>
        <v>0</v>
      </c>
      <c r="BT80" s="123">
        <f t="shared" si="75"/>
        <v>0</v>
      </c>
      <c r="BU80" s="123">
        <f t="shared" si="76"/>
        <v>0</v>
      </c>
      <c r="BV80" s="123">
        <f t="shared" si="77"/>
        <v>0</v>
      </c>
      <c r="BW80" s="123">
        <f t="shared" si="78"/>
        <v>0</v>
      </c>
      <c r="BX80" s="123">
        <f t="shared" si="79"/>
        <v>0</v>
      </c>
      <c r="BY80" s="123">
        <f t="shared" si="80"/>
        <v>0</v>
      </c>
      <c r="BZ80" s="123">
        <f t="shared" si="81"/>
        <v>0</v>
      </c>
      <c r="CA80" s="123">
        <f t="shared" si="82"/>
        <v>0</v>
      </c>
      <c r="CB80" s="123">
        <f t="shared" si="83"/>
        <v>0</v>
      </c>
      <c r="CC80" s="123">
        <f t="shared" si="84"/>
        <v>0</v>
      </c>
      <c r="CD80" s="123">
        <f t="shared" si="85"/>
        <v>0</v>
      </c>
      <c r="CE80" s="123">
        <f t="shared" si="86"/>
        <v>0</v>
      </c>
      <c r="CF80" s="123">
        <f t="shared" si="87"/>
        <v>0</v>
      </c>
      <c r="CG80" s="123">
        <f t="shared" si="88"/>
        <v>0</v>
      </c>
      <c r="CH80" s="123">
        <f t="shared" si="89"/>
        <v>0</v>
      </c>
      <c r="CI80" s="123">
        <f t="shared" si="90"/>
        <v>0</v>
      </c>
      <c r="CJ80" s="123">
        <f t="shared" si="91"/>
        <v>0</v>
      </c>
      <c r="CK80" s="123">
        <f t="shared" si="92"/>
        <v>0</v>
      </c>
      <c r="CL80" s="123">
        <f t="shared" si="112"/>
        <v>0</v>
      </c>
      <c r="CM80" s="123">
        <f t="shared" si="112"/>
        <v>0</v>
      </c>
      <c r="CN80" s="123">
        <f t="shared" si="112"/>
        <v>0</v>
      </c>
      <c r="CO80" s="123">
        <f t="shared" si="7"/>
        <v>0</v>
      </c>
      <c r="CP80" s="123">
        <f t="shared" si="8"/>
        <v>0</v>
      </c>
      <c r="CQ80" s="123">
        <f t="shared" si="93"/>
        <v>0</v>
      </c>
      <c r="CR80" s="123">
        <f>CQ80</f>
        <v>0</v>
      </c>
      <c r="CS80" s="324">
        <f t="shared" si="9"/>
        <v>0</v>
      </c>
      <c r="CT80" s="322">
        <f t="shared" si="10"/>
        <v>0</v>
      </c>
      <c r="CU80" s="323">
        <f t="shared" si="11"/>
        <v>0</v>
      </c>
      <c r="CV80" s="323">
        <f t="shared" si="12"/>
        <v>0</v>
      </c>
      <c r="CW80" s="323">
        <f t="shared" si="13"/>
        <v>0</v>
      </c>
      <c r="CX80" s="323">
        <f t="shared" si="14"/>
        <v>0</v>
      </c>
      <c r="CY80" s="323">
        <f t="shared" si="15"/>
        <v>0</v>
      </c>
      <c r="CZ80" s="323">
        <f t="shared" si="16"/>
        <v>0</v>
      </c>
      <c r="DA80" s="323">
        <f t="shared" si="17"/>
        <v>0</v>
      </c>
      <c r="DB80" s="323">
        <f t="shared" si="18"/>
        <v>0</v>
      </c>
      <c r="DC80" s="323">
        <f t="shared" si="19"/>
        <v>0</v>
      </c>
      <c r="DD80" s="323">
        <f t="shared" si="20"/>
        <v>0</v>
      </c>
      <c r="DE80" s="323">
        <f t="shared" si="21"/>
        <v>0</v>
      </c>
      <c r="DF80" s="323">
        <f t="shared" si="22"/>
        <v>0</v>
      </c>
      <c r="DG80" s="323">
        <f t="shared" si="23"/>
        <v>0</v>
      </c>
      <c r="DH80" s="323">
        <f t="shared" si="24"/>
        <v>0</v>
      </c>
      <c r="DI80" s="323">
        <f t="shared" si="25"/>
        <v>0</v>
      </c>
      <c r="DJ80" s="323">
        <f t="shared" si="26"/>
        <v>0</v>
      </c>
      <c r="DK80" s="323">
        <f t="shared" si="27"/>
        <v>0</v>
      </c>
      <c r="DL80" s="323">
        <f t="shared" si="28"/>
        <v>0</v>
      </c>
      <c r="DM80" s="323">
        <f t="shared" si="29"/>
        <v>0</v>
      </c>
      <c r="DN80" s="323">
        <f t="shared" si="30"/>
        <v>0</v>
      </c>
      <c r="DO80" s="323">
        <f t="shared" si="31"/>
        <v>0</v>
      </c>
      <c r="DP80" s="323">
        <f t="shared" si="32"/>
        <v>0</v>
      </c>
      <c r="DQ80" s="323">
        <f t="shared" si="33"/>
        <v>0</v>
      </c>
      <c r="DR80" s="323">
        <f t="shared" si="34"/>
        <v>0</v>
      </c>
      <c r="DS80" s="323">
        <f t="shared" si="35"/>
        <v>0</v>
      </c>
      <c r="DT80" s="323">
        <f t="shared" si="36"/>
        <v>0</v>
      </c>
      <c r="DU80" s="323">
        <f t="shared" si="37"/>
        <v>0</v>
      </c>
      <c r="DV80" s="323">
        <f t="shared" si="38"/>
        <v>0</v>
      </c>
      <c r="DW80" s="323">
        <f t="shared" si="39"/>
        <v>0</v>
      </c>
      <c r="DX80" s="323">
        <f t="shared" si="40"/>
        <v>0</v>
      </c>
      <c r="DY80" s="323">
        <f t="shared" si="41"/>
        <v>0</v>
      </c>
      <c r="DZ80" s="323">
        <f t="shared" si="42"/>
        <v>0</v>
      </c>
      <c r="EA80" s="323">
        <f t="shared" si="43"/>
        <v>0</v>
      </c>
      <c r="EB80" s="323">
        <f t="shared" si="44"/>
        <v>0</v>
      </c>
      <c r="EC80" s="323">
        <f t="shared" si="45"/>
        <v>0</v>
      </c>
      <c r="ED80" s="323">
        <f t="shared" si="46"/>
        <v>0</v>
      </c>
      <c r="EE80" s="323">
        <f t="shared" si="47"/>
        <v>0</v>
      </c>
      <c r="EF80" s="323">
        <f t="shared" si="113"/>
        <v>0</v>
      </c>
      <c r="EG80" s="323">
        <f t="shared" si="113"/>
        <v>0</v>
      </c>
      <c r="EH80" s="323">
        <f t="shared" si="113"/>
        <v>0</v>
      </c>
      <c r="EI80" s="323">
        <f t="shared" si="49"/>
        <v>0</v>
      </c>
      <c r="EJ80" s="323">
        <f t="shared" si="50"/>
        <v>0</v>
      </c>
      <c r="EK80" s="324">
        <f t="shared" si="51"/>
        <v>0</v>
      </c>
    </row>
    <row r="81" spans="1:189">
      <c r="E81" s="184"/>
      <c r="F81" s="5"/>
      <c r="G81" s="5"/>
      <c r="H81" s="34"/>
      <c r="AF81" s="184"/>
      <c r="AG81" s="184"/>
      <c r="AH81" s="184"/>
      <c r="AI81" s="184"/>
      <c r="AJ81" s="184"/>
      <c r="AK81" s="184"/>
      <c r="AL81" s="184"/>
      <c r="AM81" s="184"/>
      <c r="AN81" s="184"/>
      <c r="AO81" s="184"/>
      <c r="AP81" s="184"/>
      <c r="AQ81" s="184"/>
      <c r="AR81" s="184"/>
      <c r="AS81" s="184"/>
      <c r="AT81" s="184"/>
      <c r="AU81" s="184"/>
      <c r="AV81" s="184"/>
      <c r="AW81" s="184"/>
      <c r="AX81" s="184"/>
      <c r="AZ81" s="7">
        <f>SUM(AZ51:AZ80)</f>
        <v>25188341.949934125</v>
      </c>
      <c r="BA81" s="7">
        <f t="shared" ref="BA81:CP81" si="118">SUM(BA51:BA80)</f>
        <v>30833916.656126454</v>
      </c>
      <c r="BB81" s="7">
        <f t="shared" si="118"/>
        <v>37450926.184453204</v>
      </c>
      <c r="BC81" s="7">
        <f t="shared" si="118"/>
        <v>40425031.396574423</v>
      </c>
      <c r="BD81" s="7">
        <f t="shared" si="118"/>
        <v>24500257.101449266</v>
      </c>
      <c r="BE81" s="7">
        <f t="shared" si="118"/>
        <v>29910957.959156804</v>
      </c>
      <c r="BF81" s="7">
        <f t="shared" si="118"/>
        <v>37565982.002635039</v>
      </c>
      <c r="BG81" s="7">
        <f t="shared" si="118"/>
        <v>25050724.980237149</v>
      </c>
      <c r="BH81" s="7">
        <f t="shared" si="118"/>
        <v>31204938.171278022</v>
      </c>
      <c r="BI81" s="7">
        <f t="shared" si="118"/>
        <v>36760591.275362298</v>
      </c>
      <c r="BJ81" s="7">
        <f t="shared" si="118"/>
        <v>40703132.184453212</v>
      </c>
      <c r="BK81" s="7">
        <f t="shared" si="118"/>
        <v>44750678.266139641</v>
      </c>
      <c r="BL81" s="7">
        <f t="shared" si="118"/>
        <v>33858333.464207284</v>
      </c>
      <c r="BM81" s="7">
        <f t="shared" si="118"/>
        <v>37924373.356170379</v>
      </c>
      <c r="BN81" s="7">
        <f t="shared" si="118"/>
        <v>44351419.286341675</v>
      </c>
      <c r="BO81" s="7">
        <f t="shared" si="118"/>
        <v>46613375.619674996</v>
      </c>
      <c r="BP81" s="7">
        <f t="shared" si="118"/>
        <v>52852217.678963549</v>
      </c>
      <c r="BQ81" s="7">
        <f t="shared" si="118"/>
        <v>43200762.266139649</v>
      </c>
      <c r="BR81" s="7">
        <f t="shared" si="118"/>
        <v>46616105.235836633</v>
      </c>
      <c r="BS81" s="7">
        <f t="shared" si="118"/>
        <v>49880708.446540177</v>
      </c>
      <c r="BT81" s="7">
        <f t="shared" si="118"/>
        <v>53128320.028458498</v>
      </c>
      <c r="BU81" s="7">
        <f t="shared" si="118"/>
        <v>55630862.500395246</v>
      </c>
      <c r="BV81" s="7">
        <f t="shared" si="118"/>
        <v>56697227.267786562</v>
      </c>
      <c r="BW81" s="7">
        <f t="shared" ref="BW81:CO81" si="119">SUM(BW51:BW80)</f>
        <v>33822887.555116378</v>
      </c>
      <c r="BX81" s="7">
        <f t="shared" si="119"/>
        <v>38295731.416776441</v>
      </c>
      <c r="BY81" s="7">
        <f t="shared" si="119"/>
        <v>41452470.144049183</v>
      </c>
      <c r="BZ81" s="7">
        <f t="shared" si="119"/>
        <v>47065845.80149319</v>
      </c>
      <c r="CA81" s="7">
        <f t="shared" si="119"/>
        <v>49925573.33377251</v>
      </c>
      <c r="CB81" s="7">
        <f t="shared" si="119"/>
        <v>40070620.325867377</v>
      </c>
      <c r="CC81" s="7">
        <f t="shared" si="119"/>
        <v>43003106.407553792</v>
      </c>
      <c r="CD81" s="7">
        <f t="shared" si="119"/>
        <v>49394747.454984628</v>
      </c>
      <c r="CE81" s="7">
        <f t="shared" si="119"/>
        <v>52104170.333772503</v>
      </c>
      <c r="CF81" s="7">
        <f t="shared" si="119"/>
        <v>50999121.343873516</v>
      </c>
      <c r="CG81" s="7">
        <f t="shared" si="119"/>
        <v>53862015.810276672</v>
      </c>
      <c r="CH81" s="7">
        <f t="shared" si="119"/>
        <v>56015688.30039525</v>
      </c>
      <c r="CI81" s="7">
        <f t="shared" si="119"/>
        <v>57358677.865612641</v>
      </c>
      <c r="CJ81" s="7">
        <f t="shared" si="119"/>
        <v>57430977.865612641</v>
      </c>
      <c r="CK81" s="7">
        <f t="shared" si="119"/>
        <v>57435177.865612641</v>
      </c>
      <c r="CL81" s="7">
        <f t="shared" ref="CL81:CN81" si="120">SUM(CL51:CL80)</f>
        <v>55718408.30039525</v>
      </c>
      <c r="CM81" s="7">
        <f t="shared" si="120"/>
        <v>56954773.517786562</v>
      </c>
      <c r="CN81" s="7">
        <f t="shared" si="120"/>
        <v>57196927.865612641</v>
      </c>
      <c r="CO81" s="7">
        <f t="shared" si="119"/>
        <v>57435177.865612641</v>
      </c>
      <c r="CP81" s="7">
        <f t="shared" si="118"/>
        <v>56942687.865612641</v>
      </c>
      <c r="CQ81" s="7">
        <f>SUM(CQ51:CQ80)</f>
        <v>57435177.865612641</v>
      </c>
      <c r="CR81" s="7"/>
      <c r="CS81" s="7"/>
      <c r="CT81"/>
      <c r="CV81"/>
      <c r="CX81"/>
      <c r="CZ81"/>
      <c r="DB81"/>
      <c r="DD81"/>
      <c r="DF81"/>
      <c r="DH81"/>
      <c r="DJ81"/>
      <c r="DL81"/>
      <c r="DN81"/>
      <c r="DP81"/>
      <c r="DQ81" s="184"/>
      <c r="DS81" s="184"/>
      <c r="DU81" s="184"/>
      <c r="DW81" s="184"/>
      <c r="DY81" s="184"/>
      <c r="EA81" s="184"/>
      <c r="EC81" s="184"/>
      <c r="ED81" s="184"/>
      <c r="EE81" s="184"/>
      <c r="EF81" s="184"/>
      <c r="EG81" s="184"/>
      <c r="EH81" s="184"/>
      <c r="EI81" s="184"/>
      <c r="EM81" s="184"/>
      <c r="EO81" s="184"/>
      <c r="EQ81" s="184"/>
      <c r="ES81" s="184"/>
      <c r="EU81" s="184"/>
      <c r="EW81" s="184"/>
      <c r="EY81" s="184"/>
      <c r="FA81" s="184"/>
      <c r="FC81" s="184"/>
      <c r="FE81" s="184"/>
      <c r="FG81" s="184"/>
      <c r="FI81" s="184"/>
      <c r="FK81" s="184"/>
      <c r="FM81" s="184"/>
      <c r="FO81" s="184"/>
      <c r="FQ81" s="184"/>
      <c r="FS81" s="184"/>
      <c r="FU81" s="184"/>
      <c r="FW81" s="184"/>
      <c r="FY81" s="184"/>
      <c r="GA81" s="184"/>
      <c r="GC81" s="184"/>
      <c r="GE81" s="184"/>
      <c r="GG81" s="184"/>
    </row>
    <row r="82" spans="1:189">
      <c r="AF82" s="184"/>
      <c r="AG82" s="184"/>
      <c r="AH82" s="184"/>
      <c r="AI82" s="184"/>
      <c r="AJ82" s="184"/>
      <c r="AK82" s="184"/>
      <c r="AL82" s="184"/>
      <c r="AM82" s="184"/>
      <c r="AN82" s="184"/>
      <c r="AO82" s="184"/>
      <c r="AP82" s="184"/>
      <c r="AQ82" s="184"/>
      <c r="AR82" s="184"/>
      <c r="AS82" s="184"/>
      <c r="AT82" s="184"/>
      <c r="AU82" s="184"/>
      <c r="AV82" s="184"/>
      <c r="AW82" s="184"/>
      <c r="AX82" s="184"/>
      <c r="AZ82" s="316">
        <f t="shared" ref="AZ82:CK82" si="121">AZ81/$CQ$81</f>
        <v>0.43855251930915995</v>
      </c>
      <c r="BA82" s="316">
        <f t="shared" si="121"/>
        <v>0.53684723895644471</v>
      </c>
      <c r="BB82" s="316">
        <f t="shared" si="121"/>
        <v>0.6520555446364461</v>
      </c>
      <c r="BC82" s="316">
        <f t="shared" si="121"/>
        <v>0.70383748947659364</v>
      </c>
      <c r="BD82" s="316">
        <f t="shared" si="121"/>
        <v>0.42657232051714356</v>
      </c>
      <c r="BE82" s="316">
        <f t="shared" si="121"/>
        <v>0.52077766746266096</v>
      </c>
      <c r="BF82" s="316">
        <f t="shared" si="121"/>
        <v>0.65405877371063903</v>
      </c>
      <c r="BG82" s="316">
        <f t="shared" si="121"/>
        <v>0.43615647955075659</v>
      </c>
      <c r="BH82" s="316">
        <f t="shared" si="121"/>
        <v>0.54330706948086105</v>
      </c>
      <c r="BI82" s="316">
        <f t="shared" si="121"/>
        <v>0.64003617019129055</v>
      </c>
      <c r="BJ82" s="316">
        <f t="shared" si="121"/>
        <v>0.70867948349861087</v>
      </c>
      <c r="BK82" s="316">
        <f t="shared" si="121"/>
        <v>0.7791510347691043</v>
      </c>
      <c r="BL82" s="316">
        <f t="shared" si="121"/>
        <v>0.58950515559348182</v>
      </c>
      <c r="BM82" s="316">
        <f t="shared" si="121"/>
        <v>0.66029870134477819</v>
      </c>
      <c r="BN82" s="316">
        <f t="shared" si="121"/>
        <v>0.7721995636561888</v>
      </c>
      <c r="BO82" s="316">
        <f t="shared" si="121"/>
        <v>0.81158233249910716</v>
      </c>
      <c r="BP82" s="316">
        <f t="shared" si="121"/>
        <v>0.92020638993453896</v>
      </c>
      <c r="BQ82" s="316">
        <f t="shared" si="121"/>
        <v>0.7521655520458419</v>
      </c>
      <c r="BR82" s="316">
        <f t="shared" si="121"/>
        <v>0.81162985766161333</v>
      </c>
      <c r="BS82" s="316">
        <f t="shared" si="121"/>
        <v>0.8684696435214585</v>
      </c>
      <c r="BT82" s="316">
        <f t="shared" si="121"/>
        <v>0.9250135892809217</v>
      </c>
      <c r="BU82" s="316">
        <f t="shared" si="121"/>
        <v>0.96858518712279174</v>
      </c>
      <c r="BV82" s="316">
        <f t="shared" si="121"/>
        <v>0.98715159201643388</v>
      </c>
      <c r="BW82" s="316">
        <f t="shared" si="121"/>
        <v>0.58888800926594986</v>
      </c>
      <c r="BX82" s="316">
        <f t="shared" si="121"/>
        <v>0.66676439143935706</v>
      </c>
      <c r="BY82" s="316">
        <f t="shared" si="121"/>
        <v>0.72172615606832546</v>
      </c>
      <c r="BZ82" s="316">
        <f t="shared" si="121"/>
        <v>0.81946026025406049</v>
      </c>
      <c r="CA82" s="316">
        <f t="shared" si="121"/>
        <v>0.86925078304081915</v>
      </c>
      <c r="CB82" s="316">
        <f t="shared" si="121"/>
        <v>0.6976668622777662</v>
      </c>
      <c r="CC82" s="316">
        <f t="shared" si="121"/>
        <v>0.74872417925078694</v>
      </c>
      <c r="CD82" s="316">
        <f t="shared" si="121"/>
        <v>0.86000860954168046</v>
      </c>
      <c r="CE82" s="316">
        <f t="shared" si="121"/>
        <v>0.90718218816500096</v>
      </c>
      <c r="CF82" s="316">
        <f t="shared" si="121"/>
        <v>0.88794225488779244</v>
      </c>
      <c r="CG82" s="316">
        <f t="shared" si="121"/>
        <v>0.93778791695054053</v>
      </c>
      <c r="CH82" s="316">
        <f t="shared" si="121"/>
        <v>0.97528536311772684</v>
      </c>
      <c r="CI82" s="316">
        <f t="shared" si="121"/>
        <v>0.99866806367033467</v>
      </c>
      <c r="CJ82" s="316">
        <f t="shared" si="121"/>
        <v>0.99992687408386149</v>
      </c>
      <c r="CK82" s="316">
        <f t="shared" si="121"/>
        <v>1</v>
      </c>
      <c r="CL82" s="316">
        <f t="shared" ref="CL82:CN82" si="122">CL81/$CQ$81</f>
        <v>0.97010944112971487</v>
      </c>
      <c r="CM82" s="316">
        <f t="shared" si="122"/>
        <v>0.9916357123686439</v>
      </c>
      <c r="CN82" s="316">
        <f t="shared" si="122"/>
        <v>0.99585184535238214</v>
      </c>
      <c r="CO82" s="316">
        <f>CO81/$CQ$81</f>
        <v>1</v>
      </c>
      <c r="CP82" s="316">
        <f>CP81/$CQ$81</f>
        <v>0.99142528989546563</v>
      </c>
      <c r="CR82"/>
      <c r="CS82" s="184"/>
      <c r="CT82"/>
      <c r="CV82"/>
      <c r="CX82"/>
      <c r="CZ82"/>
      <c r="DB82"/>
      <c r="DD82"/>
      <c r="DF82"/>
      <c r="DH82"/>
      <c r="DJ82"/>
      <c r="DL82"/>
      <c r="DN82"/>
      <c r="DP82"/>
      <c r="DQ82" s="184"/>
      <c r="DS82" s="184"/>
      <c r="DU82" s="184"/>
      <c r="DW82" s="184"/>
      <c r="DY82" s="184"/>
      <c r="EA82" s="184"/>
      <c r="EC82" s="184"/>
      <c r="ED82" s="184"/>
      <c r="EE82" s="184"/>
      <c r="EF82" s="184"/>
      <c r="EG82" s="184"/>
      <c r="EH82" s="184"/>
      <c r="EI82" s="184"/>
      <c r="EM82" s="184"/>
      <c r="EO82" s="184"/>
      <c r="EQ82" s="184"/>
      <c r="ES82" s="184"/>
      <c r="EU82" s="184"/>
      <c r="EW82" s="184"/>
      <c r="EY82" s="184"/>
      <c r="FA82" s="184"/>
      <c r="FC82" s="184"/>
      <c r="FE82" s="184"/>
      <c r="FG82" s="184"/>
      <c r="FI82" s="184"/>
      <c r="FK82" s="184"/>
      <c r="FM82" s="184"/>
      <c r="FO82" s="184"/>
      <c r="FQ82" s="184"/>
      <c r="FS82" s="184"/>
      <c r="FU82" s="184"/>
      <c r="FW82" s="184"/>
      <c r="FY82" s="184"/>
      <c r="GA82" s="184"/>
      <c r="GC82" s="184"/>
      <c r="GE82" s="184"/>
      <c r="GG82" s="184"/>
    </row>
    <row r="84" spans="1:189">
      <c r="B84" s="17" t="s">
        <v>250</v>
      </c>
      <c r="C84" s="17" t="s">
        <v>251</v>
      </c>
      <c r="D84" s="17" t="s">
        <v>252</v>
      </c>
      <c r="E84" s="17" t="s">
        <v>253</v>
      </c>
      <c r="F84" s="17" t="s">
        <v>254</v>
      </c>
      <c r="G84" s="17" t="s">
        <v>255</v>
      </c>
      <c r="H84" s="17" t="s">
        <v>256</v>
      </c>
      <c r="I84" s="17" t="s">
        <v>257</v>
      </c>
      <c r="J84" s="17" t="s">
        <v>258</v>
      </c>
      <c r="K84" s="17" t="s">
        <v>259</v>
      </c>
      <c r="L84" s="17" t="s">
        <v>260</v>
      </c>
      <c r="M84" s="17" t="s">
        <v>261</v>
      </c>
      <c r="N84" s="334" t="s">
        <v>283</v>
      </c>
      <c r="O84" s="334" t="s">
        <v>284</v>
      </c>
      <c r="P84" s="334" t="s">
        <v>285</v>
      </c>
      <c r="Q84" s="334" t="s">
        <v>286</v>
      </c>
      <c r="R84" s="334" t="s">
        <v>287</v>
      </c>
      <c r="S84" s="337" t="s">
        <v>445</v>
      </c>
      <c r="T84" s="337" t="s">
        <v>245</v>
      </c>
      <c r="U84" s="337" t="s">
        <v>246</v>
      </c>
      <c r="V84" s="337" t="s">
        <v>247</v>
      </c>
      <c r="W84" s="337" t="s">
        <v>248</v>
      </c>
      <c r="X84" s="337" t="s">
        <v>249</v>
      </c>
      <c r="Y84" s="14" t="s">
        <v>372</v>
      </c>
      <c r="Z84" s="337" t="s">
        <v>442</v>
      </c>
      <c r="AA84" s="337" t="s">
        <v>443</v>
      </c>
      <c r="AB84" s="337" t="s">
        <v>444</v>
      </c>
      <c r="AC84" s="336" t="s">
        <v>288</v>
      </c>
      <c r="AD84" s="336" t="s">
        <v>11</v>
      </c>
      <c r="AE84" s="336" t="s">
        <v>12</v>
      </c>
      <c r="AF84" s="336" t="s">
        <v>13</v>
      </c>
      <c r="AG84" s="336" t="s">
        <v>292</v>
      </c>
      <c r="AH84" s="336" t="s">
        <v>451</v>
      </c>
      <c r="AI84" s="336" t="s">
        <v>452</v>
      </c>
      <c r="AJ84" s="336" t="s">
        <v>453</v>
      </c>
      <c r="AK84" s="336" t="s">
        <v>454</v>
      </c>
      <c r="AL84" s="339" t="s">
        <v>347</v>
      </c>
      <c r="AM84" s="339" t="s">
        <v>348</v>
      </c>
      <c r="AN84" s="339" t="s">
        <v>349</v>
      </c>
      <c r="AO84" s="339" t="s">
        <v>350</v>
      </c>
      <c r="AP84" s="339" t="s">
        <v>351</v>
      </c>
      <c r="AQ84" s="339" t="s">
        <v>352</v>
      </c>
      <c r="AR84" s="14" t="s">
        <v>365</v>
      </c>
      <c r="AS84" s="17" t="s">
        <v>373</v>
      </c>
      <c r="AT84" s="17" t="s">
        <v>250</v>
      </c>
      <c r="AU84" s="17" t="s">
        <v>251</v>
      </c>
      <c r="AV84" s="17" t="s">
        <v>252</v>
      </c>
      <c r="AW84" s="17" t="s">
        <v>253</v>
      </c>
      <c r="AX84" s="17" t="s">
        <v>254</v>
      </c>
      <c r="AY84" s="17" t="s">
        <v>255</v>
      </c>
      <c r="AZ84" s="17" t="s">
        <v>256</v>
      </c>
      <c r="BA84" s="17" t="s">
        <v>257</v>
      </c>
      <c r="BB84" s="17" t="s">
        <v>258</v>
      </c>
      <c r="BC84" s="17" t="s">
        <v>259</v>
      </c>
      <c r="BD84" s="17" t="s">
        <v>260</v>
      </c>
      <c r="BE84" s="17" t="s">
        <v>261</v>
      </c>
      <c r="BF84" s="17" t="s">
        <v>283</v>
      </c>
      <c r="BG84" s="17" t="s">
        <v>284</v>
      </c>
      <c r="BH84" s="17" t="s">
        <v>285</v>
      </c>
      <c r="BI84" s="17" t="s">
        <v>286</v>
      </c>
      <c r="BJ84" s="17" t="s">
        <v>287</v>
      </c>
      <c r="BK84" s="17" t="s">
        <v>445</v>
      </c>
      <c r="BL84" s="17" t="s">
        <v>245</v>
      </c>
      <c r="BM84" s="17" t="s">
        <v>246</v>
      </c>
      <c r="BN84" s="17" t="s">
        <v>247</v>
      </c>
      <c r="BO84" s="17" t="s">
        <v>248</v>
      </c>
      <c r="BP84" s="17" t="s">
        <v>249</v>
      </c>
      <c r="BQ84" s="14" t="s">
        <v>372</v>
      </c>
      <c r="BR84" s="14" t="s">
        <v>442</v>
      </c>
      <c r="BS84" s="14" t="s">
        <v>443</v>
      </c>
      <c r="BT84" s="14" t="s">
        <v>444</v>
      </c>
      <c r="BU84" s="14" t="s">
        <v>288</v>
      </c>
      <c r="BV84" s="14" t="s">
        <v>11</v>
      </c>
      <c r="BW84" s="14" t="s">
        <v>12</v>
      </c>
      <c r="BX84" s="14" t="s">
        <v>13</v>
      </c>
      <c r="BY84" s="14" t="s">
        <v>292</v>
      </c>
      <c r="BZ84" s="14" t="s">
        <v>374</v>
      </c>
      <c r="CA84" s="14" t="s">
        <v>375</v>
      </c>
      <c r="CB84" s="14" t="s">
        <v>376</v>
      </c>
      <c r="CC84" s="14" t="s">
        <v>377</v>
      </c>
      <c r="CD84" s="14" t="s">
        <v>347</v>
      </c>
      <c r="CE84" s="14" t="s">
        <v>348</v>
      </c>
      <c r="CF84" s="14" t="s">
        <v>349</v>
      </c>
      <c r="CG84" s="14" t="s">
        <v>350</v>
      </c>
      <c r="CH84" s="14" t="s">
        <v>351</v>
      </c>
      <c r="CI84" s="14" t="s">
        <v>352</v>
      </c>
      <c r="CJ84" s="14" t="s">
        <v>365</v>
      </c>
      <c r="CL84"/>
      <c r="CN84"/>
      <c r="CP84"/>
      <c r="CR84"/>
      <c r="CT84"/>
      <c r="CV84"/>
      <c r="CX84"/>
      <c r="CZ84"/>
      <c r="DB84"/>
      <c r="DD84"/>
      <c r="DF84"/>
      <c r="ED84" s="184"/>
      <c r="EF84" s="184"/>
      <c r="EH84" s="184"/>
      <c r="EJ84" s="184"/>
      <c r="EL84" s="184"/>
      <c r="EN84" s="184"/>
      <c r="EP84" s="184"/>
      <c r="ER84" s="184"/>
      <c r="ET84" s="184"/>
      <c r="EV84" s="184"/>
      <c r="EX84" s="184"/>
      <c r="EZ84" s="184"/>
      <c r="FB84" s="184"/>
    </row>
    <row r="85" spans="1:189">
      <c r="A85">
        <v>-27.5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>
        <f t="shared" ref="AS85:AS116" si="123">IF(($D$49-A85)&lt;5,0,IF(($D$49-A85)&gt;=($D$49-$C$49),1,MAX(0,MIN(1,(($D$49-8)-A85)/($D$49-($C$49-5))))))*heat_load</f>
        <v>45000</v>
      </c>
      <c r="AT85" t="str">
        <f t="shared" ref="AT85:BQ85" si="124">IF(B85&gt;$AS85,1,"")</f>
        <v/>
      </c>
      <c r="AU85" s="184" t="str">
        <f t="shared" si="124"/>
        <v/>
      </c>
      <c r="AV85" s="184" t="str">
        <f t="shared" si="124"/>
        <v/>
      </c>
      <c r="AW85" s="184" t="str">
        <f t="shared" si="124"/>
        <v/>
      </c>
      <c r="AX85" s="184" t="str">
        <f t="shared" si="124"/>
        <v/>
      </c>
      <c r="AY85" s="184" t="str">
        <f t="shared" si="124"/>
        <v/>
      </c>
      <c r="AZ85" s="184" t="str">
        <f t="shared" si="124"/>
        <v/>
      </c>
      <c r="BA85" s="184" t="str">
        <f t="shared" si="124"/>
        <v/>
      </c>
      <c r="BB85" s="184" t="str">
        <f t="shared" si="124"/>
        <v/>
      </c>
      <c r="BC85" s="184" t="str">
        <f t="shared" si="124"/>
        <v/>
      </c>
      <c r="BD85" s="184" t="str">
        <f t="shared" si="124"/>
        <v/>
      </c>
      <c r="BE85" s="184" t="str">
        <f t="shared" si="124"/>
        <v/>
      </c>
      <c r="BF85" s="184" t="str">
        <f t="shared" si="124"/>
        <v/>
      </c>
      <c r="BG85" s="184" t="str">
        <f t="shared" si="124"/>
        <v/>
      </c>
      <c r="BH85" s="184" t="str">
        <f t="shared" si="124"/>
        <v/>
      </c>
      <c r="BI85" s="184" t="str">
        <f t="shared" si="124"/>
        <v/>
      </c>
      <c r="BJ85" s="184" t="str">
        <f t="shared" si="124"/>
        <v/>
      </c>
      <c r="BK85" s="184" t="str">
        <f t="shared" si="124"/>
        <v/>
      </c>
      <c r="BL85" s="184" t="str">
        <f t="shared" si="124"/>
        <v/>
      </c>
      <c r="BM85" s="184" t="str">
        <f t="shared" si="124"/>
        <v/>
      </c>
      <c r="BN85" s="184" t="str">
        <f t="shared" si="124"/>
        <v/>
      </c>
      <c r="BO85" s="184" t="str">
        <f t="shared" si="124"/>
        <v/>
      </c>
      <c r="BP85" s="184" t="str">
        <f t="shared" si="124"/>
        <v/>
      </c>
      <c r="BQ85" s="184" t="str">
        <f t="shared" si="124"/>
        <v/>
      </c>
      <c r="BR85" s="184" t="str">
        <f t="shared" ref="BR85:BT85" si="125">IF(Z85&gt;$AS85,1,"")</f>
        <v/>
      </c>
      <c r="BS85" s="184" t="str">
        <f t="shared" si="125"/>
        <v/>
      </c>
      <c r="BT85" s="184" t="str">
        <f t="shared" si="125"/>
        <v/>
      </c>
      <c r="BU85" s="184" t="str">
        <f t="shared" ref="BU85:CJ85" si="126">IF(AC85&gt;$AS85,1,"")</f>
        <v/>
      </c>
      <c r="BV85" s="184" t="str">
        <f t="shared" si="126"/>
        <v/>
      </c>
      <c r="BW85" s="184" t="str">
        <f t="shared" si="126"/>
        <v/>
      </c>
      <c r="BX85" s="184" t="str">
        <f t="shared" si="126"/>
        <v/>
      </c>
      <c r="BY85" s="184" t="str">
        <f t="shared" si="126"/>
        <v/>
      </c>
      <c r="BZ85" s="184" t="str">
        <f t="shared" si="126"/>
        <v/>
      </c>
      <c r="CA85" s="184" t="str">
        <f t="shared" si="126"/>
        <v/>
      </c>
      <c r="CB85" s="184" t="str">
        <f t="shared" si="126"/>
        <v/>
      </c>
      <c r="CC85" s="184" t="str">
        <f t="shared" si="126"/>
        <v/>
      </c>
      <c r="CD85" s="184" t="str">
        <f t="shared" si="126"/>
        <v/>
      </c>
      <c r="CE85" s="184" t="str">
        <f t="shared" si="126"/>
        <v/>
      </c>
      <c r="CF85" s="184" t="str">
        <f t="shared" si="126"/>
        <v/>
      </c>
      <c r="CG85" s="184" t="str">
        <f t="shared" si="126"/>
        <v/>
      </c>
      <c r="CH85" s="184" t="str">
        <f t="shared" si="126"/>
        <v/>
      </c>
      <c r="CI85" s="184" t="str">
        <f t="shared" si="126"/>
        <v/>
      </c>
      <c r="CJ85" s="184" t="str">
        <f t="shared" si="126"/>
        <v/>
      </c>
      <c r="CK85" s="184"/>
      <c r="CM85" s="184"/>
      <c r="CN85"/>
      <c r="CP85"/>
      <c r="CR85"/>
      <c r="CT85"/>
      <c r="CV85"/>
      <c r="CX85"/>
      <c r="CZ85"/>
      <c r="DB85"/>
      <c r="DD85"/>
      <c r="DF85"/>
      <c r="ED85" s="184"/>
      <c r="EF85" s="184"/>
      <c r="EH85" s="184"/>
      <c r="EJ85" s="184"/>
      <c r="EL85" s="184"/>
      <c r="EN85" s="184"/>
      <c r="EP85" s="184"/>
      <c r="ER85" s="184"/>
      <c r="ET85" s="184"/>
      <c r="EV85" s="184"/>
      <c r="EX85" s="184"/>
      <c r="EZ85" s="184"/>
      <c r="FB85" s="184"/>
    </row>
    <row r="86" spans="1:189">
      <c r="A86">
        <f t="shared" ref="A86:A117" si="127">A85+0.5</f>
        <v>-27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>
        <f t="shared" si="123"/>
        <v>45000</v>
      </c>
      <c r="AT86" t="str">
        <f t="shared" ref="AT86:AT117" si="128">IF(AND(B86&gt;=$AS86,B85&lt;$AS85),1,"")</f>
        <v/>
      </c>
      <c r="AU86" s="184" t="str">
        <f t="shared" ref="AU86:AU117" si="129">IF(AND(C86&gt;=$AS86,C85&lt;$AS85),1,"")</f>
        <v/>
      </c>
      <c r="AV86" s="184" t="str">
        <f t="shared" ref="AV86:AV117" si="130">IF(AND(D86&gt;=$AS86,D85&lt;$AS85),1,"")</f>
        <v/>
      </c>
      <c r="AW86" s="184" t="str">
        <f t="shared" ref="AW86:AW117" si="131">IF(AND(E86&gt;=$AS86,E85&lt;$AS85),1,"")</f>
        <v/>
      </c>
      <c r="AX86" s="184" t="str">
        <f t="shared" ref="AX86:AX117" si="132">IF(AND(F86&gt;=$AS86,F85&lt;$AS85),1,"")</f>
        <v/>
      </c>
      <c r="AY86" s="184" t="str">
        <f t="shared" ref="AY86:AY117" si="133">IF(AND(G86&gt;=$AS86,G85&lt;$AS85),1,"")</f>
        <v/>
      </c>
      <c r="AZ86" s="184" t="str">
        <f t="shared" ref="AZ86:AZ117" si="134">IF(AND(H86&gt;=$AS86,H85&lt;$AS85),1,"")</f>
        <v/>
      </c>
      <c r="BA86" s="184" t="str">
        <f t="shared" ref="BA86:BA117" si="135">IF(AND(I86&gt;=$AS86,I85&lt;$AS85),1,"")</f>
        <v/>
      </c>
      <c r="BB86" s="184" t="str">
        <f t="shared" ref="BB86:BB117" si="136">IF(AND(J86&gt;=$AS86,J85&lt;$AS85),1,"")</f>
        <v/>
      </c>
      <c r="BC86" s="184" t="str">
        <f t="shared" ref="BC86:BC117" si="137">IF(AND(K86&gt;=$AS86,K85&lt;$AS85),1,"")</f>
        <v/>
      </c>
      <c r="BD86" s="184" t="str">
        <f t="shared" ref="BD86:BD117" si="138">IF(AND(L86&gt;=$AS86,L85&lt;$AS85),1,"")</f>
        <v/>
      </c>
      <c r="BE86" s="184" t="str">
        <f t="shared" ref="BE86:BE117" si="139">IF(AND(M86&gt;=$AS86,M85&lt;$AS85),1,"")</f>
        <v/>
      </c>
      <c r="BF86" s="184" t="str">
        <f t="shared" ref="BF86:BF117" si="140">IF(AND(N86&gt;=$AS86,N85&lt;$AS85),1,"")</f>
        <v/>
      </c>
      <c r="BG86" s="184" t="str">
        <f t="shared" ref="BG86:BG117" si="141">IF(AND(O86&gt;=$AS86,O85&lt;$AS85),1,"")</f>
        <v/>
      </c>
      <c r="BH86" s="184" t="str">
        <f t="shared" ref="BH86:BH117" si="142">IF(AND(P86&gt;=$AS86,P85&lt;$AS85),1,"")</f>
        <v/>
      </c>
      <c r="BI86" s="184" t="str">
        <f t="shared" ref="BI86:BI117" si="143">IF(AND(Q86&gt;=$AS86,Q85&lt;$AS85),1,"")</f>
        <v/>
      </c>
      <c r="BJ86" s="184" t="str">
        <f t="shared" ref="BJ86:BJ117" si="144">IF(AND(R86&gt;=$AS86,R85&lt;$AS85),1,"")</f>
        <v/>
      </c>
      <c r="BK86" s="184" t="str">
        <f t="shared" ref="BK86:BK117" si="145">IF(AND(S86&gt;=$AS86,S85&lt;$AS85),1,"")</f>
        <v/>
      </c>
      <c r="BL86" s="184" t="str">
        <f t="shared" ref="BL86:BL117" si="146">IF(AND(T86&gt;=$AS86,T85&lt;$AS85),1,"")</f>
        <v/>
      </c>
      <c r="BM86" s="184" t="str">
        <f t="shared" ref="BM86:BM117" si="147">IF(AND(U86&gt;=$AS86,U85&lt;$AS85),1,"")</f>
        <v/>
      </c>
      <c r="BN86" s="184" t="str">
        <f t="shared" ref="BN86:BN117" si="148">IF(AND(V86&gt;=$AS86,V85&lt;$AS85),1,"")</f>
        <v/>
      </c>
      <c r="BO86" s="184" t="str">
        <f t="shared" ref="BO86:BO117" si="149">IF(AND(W86&gt;=$AS86,W85&lt;$AS85),1,"")</f>
        <v/>
      </c>
      <c r="BP86" s="184" t="str">
        <f t="shared" ref="BP86:BP117" si="150">IF(AND(X86&gt;=$AS86,X85&lt;$AS85),1,"")</f>
        <v/>
      </c>
      <c r="BQ86" s="184" t="str">
        <f t="shared" ref="BQ86:BQ117" si="151">IF(AND(Y86&gt;=$AS86,Y85&lt;$AS85),1,"")</f>
        <v/>
      </c>
      <c r="BR86" s="184" t="str">
        <f t="shared" ref="BR86:BT101" si="152">IF(AND(Z86&gt;=$AS86,Z85&lt;$AS85),1,"")</f>
        <v/>
      </c>
      <c r="BS86" s="184" t="str">
        <f t="shared" si="152"/>
        <v/>
      </c>
      <c r="BT86" s="184" t="str">
        <f t="shared" si="152"/>
        <v/>
      </c>
      <c r="BU86" s="184" t="str">
        <f t="shared" ref="BU86:BU117" si="153">IF(AND(AC86&gt;=$AS86,AC85&lt;$AS85),1,"")</f>
        <v/>
      </c>
      <c r="BV86" s="184" t="str">
        <f t="shared" ref="BV86:BV117" si="154">IF(AND(AD86&gt;=$AS86,AD85&lt;$AS85),1,"")</f>
        <v/>
      </c>
      <c r="BW86" s="184" t="str">
        <f t="shared" ref="BW86:BW117" si="155">IF(AND(AE86&gt;=$AS86,AE85&lt;$AS85),1,"")</f>
        <v/>
      </c>
      <c r="BX86" s="184" t="str">
        <f t="shared" ref="BX86:BX117" si="156">IF(AND(AF86&gt;=$AS86,AF85&lt;$AS85),1,"")</f>
        <v/>
      </c>
      <c r="BY86" s="184" t="str">
        <f t="shared" ref="BY86:BY117" si="157">IF(AND(AG86&gt;=$AS86,AG85&lt;$AS85),1,"")</f>
        <v/>
      </c>
      <c r="BZ86" s="184" t="str">
        <f t="shared" ref="BZ86:BZ117" si="158">IF(AND(AH86&gt;=$AS86,AH85&lt;$AS85),1,"")</f>
        <v/>
      </c>
      <c r="CA86" s="184" t="str">
        <f t="shared" ref="CA86:CA117" si="159">IF(AND(AI86&gt;=$AS86,AI85&lt;$AS85),1,"")</f>
        <v/>
      </c>
      <c r="CB86" s="184" t="str">
        <f t="shared" ref="CB86:CB117" si="160">IF(AND(AJ86&gt;=$AS86,AJ85&lt;$AS85),1,"")</f>
        <v/>
      </c>
      <c r="CC86" s="184" t="str">
        <f t="shared" ref="CC86:CC117" si="161">IF(AND(AK86&gt;=$AS86,AK85&lt;$AS85),1,"")</f>
        <v/>
      </c>
      <c r="CD86" s="184" t="str">
        <f t="shared" ref="CD86:CD117" si="162">IF(AND(AL86&gt;=$AS86,AL85&lt;$AS85),1,"")</f>
        <v/>
      </c>
      <c r="CE86" s="184" t="str">
        <f t="shared" ref="CE86:CE117" si="163">IF(AND(AM86&gt;=$AS86,AM85&lt;$AS85),1,"")</f>
        <v/>
      </c>
      <c r="CF86" s="184" t="str">
        <f t="shared" ref="CF86:CF117" si="164">IF(AND(AN86&gt;=$AS86,AN85&lt;$AS85),1,"")</f>
        <v/>
      </c>
      <c r="CG86" s="184" t="str">
        <f t="shared" ref="CG86:CG117" si="165">IF(AND(AO86&gt;=$AS86,AO85&lt;$AS85),1,"")</f>
        <v/>
      </c>
      <c r="CH86" s="184" t="str">
        <f t="shared" ref="CH86:CH117" si="166">IF(AND(AP86&gt;=$AS86,AP85&lt;$AS85),1,"")</f>
        <v/>
      </c>
      <c r="CI86" s="184" t="str">
        <f t="shared" ref="CI86:CI117" si="167">IF(AND(AQ86&gt;=$AS86,AQ85&lt;$AS85),1,"")</f>
        <v/>
      </c>
      <c r="CJ86" s="184" t="str">
        <f t="shared" ref="CJ86:CJ117" si="168">IF(AND(AR86&gt;=$AS86,AR85&lt;$AS85),1,"")</f>
        <v/>
      </c>
      <c r="CK86" s="184"/>
      <c r="CM86" s="184"/>
      <c r="CN86"/>
      <c r="CP86"/>
      <c r="CR86"/>
      <c r="CT86"/>
      <c r="CV86"/>
      <c r="CX86"/>
      <c r="CZ86"/>
      <c r="DB86"/>
      <c r="DD86"/>
      <c r="DF86"/>
      <c r="ED86" s="184"/>
      <c r="EF86" s="184"/>
      <c r="EH86" s="184"/>
      <c r="EJ86" s="184"/>
      <c r="EL86" s="184"/>
      <c r="EN86" s="184"/>
      <c r="EP86" s="184"/>
      <c r="ER86" s="184"/>
      <c r="ET86" s="184"/>
      <c r="EV86" s="184"/>
      <c r="EX86" s="184"/>
      <c r="EZ86" s="184"/>
      <c r="FB86" s="184"/>
    </row>
    <row r="87" spans="1:189">
      <c r="A87" s="184">
        <f t="shared" si="127"/>
        <v>-26.5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>
        <f t="shared" si="123"/>
        <v>45000</v>
      </c>
      <c r="AT87" s="184" t="str">
        <f t="shared" si="128"/>
        <v/>
      </c>
      <c r="AU87" s="184" t="str">
        <f t="shared" si="129"/>
        <v/>
      </c>
      <c r="AV87" s="184" t="str">
        <f t="shared" si="130"/>
        <v/>
      </c>
      <c r="AW87" s="184" t="str">
        <f t="shared" si="131"/>
        <v/>
      </c>
      <c r="AX87" s="184" t="str">
        <f t="shared" si="132"/>
        <v/>
      </c>
      <c r="AY87" s="184" t="str">
        <f t="shared" si="133"/>
        <v/>
      </c>
      <c r="AZ87" s="184" t="str">
        <f t="shared" si="134"/>
        <v/>
      </c>
      <c r="BA87" s="184" t="str">
        <f t="shared" si="135"/>
        <v/>
      </c>
      <c r="BB87" s="184" t="str">
        <f t="shared" si="136"/>
        <v/>
      </c>
      <c r="BC87" s="184" t="str">
        <f t="shared" si="137"/>
        <v/>
      </c>
      <c r="BD87" s="184" t="str">
        <f t="shared" si="138"/>
        <v/>
      </c>
      <c r="BE87" s="184" t="str">
        <f t="shared" si="139"/>
        <v/>
      </c>
      <c r="BF87" s="184" t="str">
        <f t="shared" si="140"/>
        <v/>
      </c>
      <c r="BG87" s="184" t="str">
        <f t="shared" si="141"/>
        <v/>
      </c>
      <c r="BH87" s="184" t="str">
        <f t="shared" si="142"/>
        <v/>
      </c>
      <c r="BI87" s="184" t="str">
        <f t="shared" si="143"/>
        <v/>
      </c>
      <c r="BJ87" s="184" t="str">
        <f t="shared" si="144"/>
        <v/>
      </c>
      <c r="BK87" s="184" t="str">
        <f t="shared" si="145"/>
        <v/>
      </c>
      <c r="BL87" s="184" t="str">
        <f t="shared" si="146"/>
        <v/>
      </c>
      <c r="BM87" s="184" t="str">
        <f t="shared" si="147"/>
        <v/>
      </c>
      <c r="BN87" s="184" t="str">
        <f t="shared" si="148"/>
        <v/>
      </c>
      <c r="BO87" s="184" t="str">
        <f t="shared" si="149"/>
        <v/>
      </c>
      <c r="BP87" s="184" t="str">
        <f t="shared" si="150"/>
        <v/>
      </c>
      <c r="BQ87" s="184" t="str">
        <f t="shared" si="151"/>
        <v/>
      </c>
      <c r="BR87" s="184" t="str">
        <f t="shared" si="152"/>
        <v/>
      </c>
      <c r="BS87" s="184" t="str">
        <f t="shared" si="152"/>
        <v/>
      </c>
      <c r="BT87" s="184" t="str">
        <f t="shared" si="152"/>
        <v/>
      </c>
      <c r="BU87" s="184" t="str">
        <f t="shared" si="153"/>
        <v/>
      </c>
      <c r="BV87" s="184" t="str">
        <f t="shared" si="154"/>
        <v/>
      </c>
      <c r="BW87" s="184" t="str">
        <f t="shared" si="155"/>
        <v/>
      </c>
      <c r="BX87" s="184" t="str">
        <f t="shared" si="156"/>
        <v/>
      </c>
      <c r="BY87" s="184" t="str">
        <f t="shared" si="157"/>
        <v/>
      </c>
      <c r="BZ87" s="184" t="str">
        <f t="shared" si="158"/>
        <v/>
      </c>
      <c r="CA87" s="184" t="str">
        <f t="shared" si="159"/>
        <v/>
      </c>
      <c r="CB87" s="184" t="str">
        <f t="shared" si="160"/>
        <v/>
      </c>
      <c r="CC87" s="184" t="str">
        <f t="shared" si="161"/>
        <v/>
      </c>
      <c r="CD87" s="184" t="str">
        <f t="shared" si="162"/>
        <v/>
      </c>
      <c r="CE87" s="184" t="str">
        <f t="shared" si="163"/>
        <v/>
      </c>
      <c r="CF87" s="184" t="str">
        <f t="shared" si="164"/>
        <v/>
      </c>
      <c r="CG87" s="184" t="str">
        <f t="shared" si="165"/>
        <v/>
      </c>
      <c r="CH87" s="184" t="str">
        <f t="shared" si="166"/>
        <v/>
      </c>
      <c r="CI87" s="184" t="str">
        <f t="shared" si="167"/>
        <v/>
      </c>
      <c r="CJ87" s="184" t="str">
        <f t="shared" si="168"/>
        <v/>
      </c>
      <c r="CK87" s="184"/>
      <c r="CM87" s="184"/>
      <c r="CN87"/>
      <c r="CP87"/>
      <c r="CR87"/>
      <c r="CT87"/>
      <c r="CV87"/>
      <c r="CX87"/>
      <c r="CZ87"/>
      <c r="DB87"/>
      <c r="DD87"/>
      <c r="DF87"/>
      <c r="ED87" s="184"/>
      <c r="EF87" s="184"/>
      <c r="EH87" s="184"/>
      <c r="EJ87" s="184"/>
      <c r="EL87" s="184"/>
      <c r="EN87" s="184"/>
      <c r="EP87" s="184"/>
      <c r="ER87" s="184"/>
      <c r="ET87" s="184"/>
      <c r="EV87" s="184"/>
      <c r="EX87" s="184"/>
      <c r="EZ87" s="184"/>
      <c r="FB87" s="184"/>
    </row>
    <row r="88" spans="1:189">
      <c r="A88" s="184">
        <f t="shared" si="127"/>
        <v>-26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>
        <f t="shared" si="123"/>
        <v>45000</v>
      </c>
      <c r="AT88" s="184" t="str">
        <f t="shared" si="128"/>
        <v/>
      </c>
      <c r="AU88" s="184" t="str">
        <f t="shared" si="129"/>
        <v/>
      </c>
      <c r="AV88" s="184" t="str">
        <f t="shared" si="130"/>
        <v/>
      </c>
      <c r="AW88" s="184" t="str">
        <f t="shared" si="131"/>
        <v/>
      </c>
      <c r="AX88" s="184" t="str">
        <f t="shared" si="132"/>
        <v/>
      </c>
      <c r="AY88" s="184" t="str">
        <f t="shared" si="133"/>
        <v/>
      </c>
      <c r="AZ88" s="184" t="str">
        <f t="shared" si="134"/>
        <v/>
      </c>
      <c r="BA88" s="184" t="str">
        <f t="shared" si="135"/>
        <v/>
      </c>
      <c r="BB88" s="184" t="str">
        <f t="shared" si="136"/>
        <v/>
      </c>
      <c r="BC88" s="184" t="str">
        <f t="shared" si="137"/>
        <v/>
      </c>
      <c r="BD88" s="184" t="str">
        <f t="shared" si="138"/>
        <v/>
      </c>
      <c r="BE88" s="184" t="str">
        <f t="shared" si="139"/>
        <v/>
      </c>
      <c r="BF88" s="184" t="str">
        <f t="shared" si="140"/>
        <v/>
      </c>
      <c r="BG88" s="184" t="str">
        <f t="shared" si="141"/>
        <v/>
      </c>
      <c r="BH88" s="184" t="str">
        <f t="shared" si="142"/>
        <v/>
      </c>
      <c r="BI88" s="184" t="str">
        <f t="shared" si="143"/>
        <v/>
      </c>
      <c r="BJ88" s="184" t="str">
        <f t="shared" si="144"/>
        <v/>
      </c>
      <c r="BK88" s="184" t="str">
        <f t="shared" si="145"/>
        <v/>
      </c>
      <c r="BL88" s="184" t="str">
        <f t="shared" si="146"/>
        <v/>
      </c>
      <c r="BM88" s="184" t="str">
        <f t="shared" si="147"/>
        <v/>
      </c>
      <c r="BN88" s="184" t="str">
        <f t="shared" si="148"/>
        <v/>
      </c>
      <c r="BO88" s="184" t="str">
        <f t="shared" si="149"/>
        <v/>
      </c>
      <c r="BP88" s="184" t="str">
        <f t="shared" si="150"/>
        <v/>
      </c>
      <c r="BQ88" s="184" t="str">
        <f t="shared" si="151"/>
        <v/>
      </c>
      <c r="BR88" s="184" t="str">
        <f t="shared" si="152"/>
        <v/>
      </c>
      <c r="BS88" s="184" t="str">
        <f t="shared" si="152"/>
        <v/>
      </c>
      <c r="BT88" s="184" t="str">
        <f t="shared" si="152"/>
        <v/>
      </c>
      <c r="BU88" s="184" t="str">
        <f t="shared" si="153"/>
        <v/>
      </c>
      <c r="BV88" s="184" t="str">
        <f t="shared" si="154"/>
        <v/>
      </c>
      <c r="BW88" s="184" t="str">
        <f t="shared" si="155"/>
        <v/>
      </c>
      <c r="BX88" s="184" t="str">
        <f t="shared" si="156"/>
        <v/>
      </c>
      <c r="BY88" s="184" t="str">
        <f t="shared" si="157"/>
        <v/>
      </c>
      <c r="BZ88" s="184" t="str">
        <f t="shared" si="158"/>
        <v/>
      </c>
      <c r="CA88" s="184" t="str">
        <f t="shared" si="159"/>
        <v/>
      </c>
      <c r="CB88" s="184" t="str">
        <f t="shared" si="160"/>
        <v/>
      </c>
      <c r="CC88" s="184" t="str">
        <f t="shared" si="161"/>
        <v/>
      </c>
      <c r="CD88" s="184" t="str">
        <f t="shared" si="162"/>
        <v/>
      </c>
      <c r="CE88" s="184" t="str">
        <f t="shared" si="163"/>
        <v/>
      </c>
      <c r="CF88" s="184" t="str">
        <f t="shared" si="164"/>
        <v/>
      </c>
      <c r="CG88" s="184" t="str">
        <f t="shared" si="165"/>
        <v/>
      </c>
      <c r="CH88" s="184" t="str">
        <f t="shared" si="166"/>
        <v/>
      </c>
      <c r="CI88" s="184" t="str">
        <f t="shared" si="167"/>
        <v/>
      </c>
      <c r="CJ88" s="184" t="str">
        <f t="shared" si="168"/>
        <v/>
      </c>
      <c r="CK88" s="184"/>
      <c r="CM88" s="184"/>
      <c r="CN88"/>
      <c r="CP88"/>
      <c r="CR88"/>
      <c r="CT88"/>
      <c r="CV88"/>
      <c r="CX88"/>
      <c r="CZ88"/>
      <c r="DB88"/>
      <c r="DD88"/>
      <c r="DF88"/>
      <c r="ED88" s="184"/>
      <c r="EF88" s="184"/>
      <c r="EH88" s="184"/>
      <c r="EJ88" s="184"/>
      <c r="EL88" s="184"/>
      <c r="EN88" s="184"/>
      <c r="EP88" s="184"/>
      <c r="ER88" s="184"/>
      <c r="ET88" s="184"/>
      <c r="EV88" s="184"/>
      <c r="EX88" s="184"/>
      <c r="EZ88" s="184"/>
      <c r="FB88" s="184"/>
    </row>
    <row r="89" spans="1:189">
      <c r="A89" s="184">
        <f t="shared" si="127"/>
        <v>-25.5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>
        <f t="shared" si="123"/>
        <v>45000</v>
      </c>
      <c r="AT89" s="184" t="str">
        <f t="shared" si="128"/>
        <v/>
      </c>
      <c r="AU89" s="184" t="str">
        <f t="shared" si="129"/>
        <v/>
      </c>
      <c r="AV89" s="184" t="str">
        <f t="shared" si="130"/>
        <v/>
      </c>
      <c r="AW89" s="184" t="str">
        <f t="shared" si="131"/>
        <v/>
      </c>
      <c r="AX89" s="184" t="str">
        <f t="shared" si="132"/>
        <v/>
      </c>
      <c r="AY89" s="184" t="str">
        <f t="shared" si="133"/>
        <v/>
      </c>
      <c r="AZ89" s="184" t="str">
        <f t="shared" si="134"/>
        <v/>
      </c>
      <c r="BA89" s="184" t="str">
        <f t="shared" si="135"/>
        <v/>
      </c>
      <c r="BB89" s="184" t="str">
        <f t="shared" si="136"/>
        <v/>
      </c>
      <c r="BC89" s="184" t="str">
        <f t="shared" si="137"/>
        <v/>
      </c>
      <c r="BD89" s="184" t="str">
        <f t="shared" si="138"/>
        <v/>
      </c>
      <c r="BE89" s="184" t="str">
        <f t="shared" si="139"/>
        <v/>
      </c>
      <c r="BF89" s="184" t="str">
        <f t="shared" si="140"/>
        <v/>
      </c>
      <c r="BG89" s="184" t="str">
        <f t="shared" si="141"/>
        <v/>
      </c>
      <c r="BH89" s="184" t="str">
        <f t="shared" si="142"/>
        <v/>
      </c>
      <c r="BI89" s="184" t="str">
        <f t="shared" si="143"/>
        <v/>
      </c>
      <c r="BJ89" s="184" t="str">
        <f t="shared" si="144"/>
        <v/>
      </c>
      <c r="BK89" s="184" t="str">
        <f t="shared" si="145"/>
        <v/>
      </c>
      <c r="BL89" s="184" t="str">
        <f t="shared" si="146"/>
        <v/>
      </c>
      <c r="BM89" s="184" t="str">
        <f t="shared" si="147"/>
        <v/>
      </c>
      <c r="BN89" s="184" t="str">
        <f t="shared" si="148"/>
        <v/>
      </c>
      <c r="BO89" s="184" t="str">
        <f t="shared" si="149"/>
        <v/>
      </c>
      <c r="BP89" s="184" t="str">
        <f t="shared" si="150"/>
        <v/>
      </c>
      <c r="BQ89" s="184" t="str">
        <f t="shared" si="151"/>
        <v/>
      </c>
      <c r="BR89" s="184" t="str">
        <f t="shared" si="152"/>
        <v/>
      </c>
      <c r="BS89" s="184" t="str">
        <f t="shared" si="152"/>
        <v/>
      </c>
      <c r="BT89" s="184" t="str">
        <f t="shared" si="152"/>
        <v/>
      </c>
      <c r="BU89" s="184" t="str">
        <f t="shared" si="153"/>
        <v/>
      </c>
      <c r="BV89" s="184" t="str">
        <f t="shared" si="154"/>
        <v/>
      </c>
      <c r="BW89" s="184" t="str">
        <f t="shared" si="155"/>
        <v/>
      </c>
      <c r="BX89" s="184" t="str">
        <f t="shared" si="156"/>
        <v/>
      </c>
      <c r="BY89" s="184" t="str">
        <f t="shared" si="157"/>
        <v/>
      </c>
      <c r="BZ89" s="184" t="str">
        <f t="shared" si="158"/>
        <v/>
      </c>
      <c r="CA89" s="184" t="str">
        <f t="shared" si="159"/>
        <v/>
      </c>
      <c r="CB89" s="184" t="str">
        <f t="shared" si="160"/>
        <v/>
      </c>
      <c r="CC89" s="184" t="str">
        <f t="shared" si="161"/>
        <v/>
      </c>
      <c r="CD89" s="184" t="str">
        <f t="shared" si="162"/>
        <v/>
      </c>
      <c r="CE89" s="184" t="str">
        <f t="shared" si="163"/>
        <v/>
      </c>
      <c r="CF89" s="184" t="str">
        <f t="shared" si="164"/>
        <v/>
      </c>
      <c r="CG89" s="184" t="str">
        <f t="shared" si="165"/>
        <v/>
      </c>
      <c r="CH89" s="184" t="str">
        <f t="shared" si="166"/>
        <v/>
      </c>
      <c r="CI89" s="184" t="str">
        <f t="shared" si="167"/>
        <v/>
      </c>
      <c r="CJ89" s="184" t="str">
        <f t="shared" si="168"/>
        <v/>
      </c>
      <c r="CK89" s="184"/>
      <c r="CM89" s="184"/>
      <c r="CN89"/>
      <c r="CP89"/>
      <c r="CR89"/>
      <c r="CT89"/>
      <c r="CV89"/>
      <c r="CX89"/>
      <c r="CZ89"/>
      <c r="DB89"/>
      <c r="DD89"/>
      <c r="DF89"/>
      <c r="ED89" s="184"/>
      <c r="EF89" s="184"/>
      <c r="EH89" s="184"/>
      <c r="EJ89" s="184"/>
      <c r="EL89" s="184"/>
      <c r="EN89" s="184"/>
      <c r="EP89" s="184"/>
      <c r="ER89" s="184"/>
      <c r="ET89" s="184"/>
      <c r="EV89" s="184"/>
      <c r="EX89" s="184"/>
      <c r="EZ89" s="184"/>
      <c r="FB89" s="184"/>
    </row>
    <row r="90" spans="1:189">
      <c r="A90" s="184">
        <f t="shared" si="127"/>
        <v>-25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>
        <f t="shared" si="123"/>
        <v>45000</v>
      </c>
      <c r="AT90" s="184" t="str">
        <f t="shared" si="128"/>
        <v/>
      </c>
      <c r="AU90" s="184" t="str">
        <f t="shared" si="129"/>
        <v/>
      </c>
      <c r="AV90" s="184" t="str">
        <f t="shared" si="130"/>
        <v/>
      </c>
      <c r="AW90" s="184" t="str">
        <f t="shared" si="131"/>
        <v/>
      </c>
      <c r="AX90" s="184" t="str">
        <f t="shared" si="132"/>
        <v/>
      </c>
      <c r="AY90" s="184" t="str">
        <f t="shared" si="133"/>
        <v/>
      </c>
      <c r="AZ90" s="184" t="str">
        <f t="shared" si="134"/>
        <v/>
      </c>
      <c r="BA90" s="184" t="str">
        <f t="shared" si="135"/>
        <v/>
      </c>
      <c r="BB90" s="184" t="str">
        <f t="shared" si="136"/>
        <v/>
      </c>
      <c r="BC90" s="184" t="str">
        <f t="shared" si="137"/>
        <v/>
      </c>
      <c r="BD90" s="184" t="str">
        <f t="shared" si="138"/>
        <v/>
      </c>
      <c r="BE90" s="184" t="str">
        <f t="shared" si="139"/>
        <v/>
      </c>
      <c r="BF90" s="184" t="str">
        <f t="shared" si="140"/>
        <v/>
      </c>
      <c r="BG90" s="184" t="str">
        <f t="shared" si="141"/>
        <v/>
      </c>
      <c r="BH90" s="184" t="str">
        <f t="shared" si="142"/>
        <v/>
      </c>
      <c r="BI90" s="184" t="str">
        <f t="shared" si="143"/>
        <v/>
      </c>
      <c r="BJ90" s="184" t="str">
        <f t="shared" si="144"/>
        <v/>
      </c>
      <c r="BK90" s="184" t="str">
        <f t="shared" si="145"/>
        <v/>
      </c>
      <c r="BL90" s="184" t="str">
        <f t="shared" si="146"/>
        <v/>
      </c>
      <c r="BM90" s="184" t="str">
        <f t="shared" si="147"/>
        <v/>
      </c>
      <c r="BN90" s="184" t="str">
        <f t="shared" si="148"/>
        <v/>
      </c>
      <c r="BO90" s="184" t="str">
        <f t="shared" si="149"/>
        <v/>
      </c>
      <c r="BP90" s="184" t="str">
        <f t="shared" si="150"/>
        <v/>
      </c>
      <c r="BQ90" s="184" t="str">
        <f t="shared" si="151"/>
        <v/>
      </c>
      <c r="BR90" s="184" t="str">
        <f t="shared" si="152"/>
        <v/>
      </c>
      <c r="BS90" s="184" t="str">
        <f t="shared" si="152"/>
        <v/>
      </c>
      <c r="BT90" s="184" t="str">
        <f t="shared" si="152"/>
        <v/>
      </c>
      <c r="BU90" s="184" t="str">
        <f t="shared" si="153"/>
        <v/>
      </c>
      <c r="BV90" s="184" t="str">
        <f t="shared" si="154"/>
        <v/>
      </c>
      <c r="BW90" s="184" t="str">
        <f t="shared" si="155"/>
        <v/>
      </c>
      <c r="BX90" s="184" t="str">
        <f t="shared" si="156"/>
        <v/>
      </c>
      <c r="BY90" s="184" t="str">
        <f t="shared" si="157"/>
        <v/>
      </c>
      <c r="BZ90" s="184" t="str">
        <f t="shared" si="158"/>
        <v/>
      </c>
      <c r="CA90" s="184" t="str">
        <f t="shared" si="159"/>
        <v/>
      </c>
      <c r="CB90" s="184" t="str">
        <f t="shared" si="160"/>
        <v/>
      </c>
      <c r="CC90" s="184" t="str">
        <f t="shared" si="161"/>
        <v/>
      </c>
      <c r="CD90" s="184" t="str">
        <f t="shared" si="162"/>
        <v/>
      </c>
      <c r="CE90" s="184" t="str">
        <f t="shared" si="163"/>
        <v/>
      </c>
      <c r="CF90" s="184" t="str">
        <f t="shared" si="164"/>
        <v/>
      </c>
      <c r="CG90" s="184" t="str">
        <f t="shared" si="165"/>
        <v/>
      </c>
      <c r="CH90" s="184" t="str">
        <f t="shared" si="166"/>
        <v/>
      </c>
      <c r="CI90" s="184" t="str">
        <f t="shared" si="167"/>
        <v/>
      </c>
      <c r="CJ90" s="184" t="str">
        <f t="shared" si="168"/>
        <v/>
      </c>
      <c r="CK90" s="184"/>
      <c r="CM90" s="184"/>
      <c r="CN90"/>
      <c r="CP90"/>
      <c r="CR90"/>
      <c r="CT90"/>
      <c r="CV90"/>
      <c r="CX90"/>
      <c r="CZ90"/>
      <c r="DB90"/>
      <c r="DD90"/>
      <c r="DF90"/>
      <c r="ED90" s="184"/>
      <c r="EF90" s="184"/>
      <c r="EH90" s="184"/>
      <c r="EJ90" s="184"/>
      <c r="EL90" s="184"/>
      <c r="EN90" s="184"/>
      <c r="EP90" s="184"/>
      <c r="ER90" s="184"/>
      <c r="ET90" s="184"/>
      <c r="EV90" s="184"/>
      <c r="EX90" s="184"/>
      <c r="EZ90" s="184"/>
      <c r="FB90" s="184"/>
    </row>
    <row r="91" spans="1:189">
      <c r="A91" s="184">
        <f t="shared" si="127"/>
        <v>-24.5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>
        <f t="shared" si="123"/>
        <v>45000</v>
      </c>
      <c r="AT91" s="184" t="str">
        <f t="shared" si="128"/>
        <v/>
      </c>
      <c r="AU91" s="184" t="str">
        <f t="shared" si="129"/>
        <v/>
      </c>
      <c r="AV91" s="184" t="str">
        <f t="shared" si="130"/>
        <v/>
      </c>
      <c r="AW91" s="184" t="str">
        <f t="shared" si="131"/>
        <v/>
      </c>
      <c r="AX91" s="184" t="str">
        <f t="shared" si="132"/>
        <v/>
      </c>
      <c r="AY91" s="184" t="str">
        <f t="shared" si="133"/>
        <v/>
      </c>
      <c r="AZ91" s="184" t="str">
        <f t="shared" si="134"/>
        <v/>
      </c>
      <c r="BA91" s="184" t="str">
        <f t="shared" si="135"/>
        <v/>
      </c>
      <c r="BB91" s="184" t="str">
        <f t="shared" si="136"/>
        <v/>
      </c>
      <c r="BC91" s="184" t="str">
        <f t="shared" si="137"/>
        <v/>
      </c>
      <c r="BD91" s="184" t="str">
        <f t="shared" si="138"/>
        <v/>
      </c>
      <c r="BE91" s="184" t="str">
        <f t="shared" si="139"/>
        <v/>
      </c>
      <c r="BF91" s="184" t="str">
        <f t="shared" si="140"/>
        <v/>
      </c>
      <c r="BG91" s="184" t="str">
        <f t="shared" si="141"/>
        <v/>
      </c>
      <c r="BH91" s="184" t="str">
        <f t="shared" si="142"/>
        <v/>
      </c>
      <c r="BI91" s="184" t="str">
        <f t="shared" si="143"/>
        <v/>
      </c>
      <c r="BJ91" s="184" t="str">
        <f t="shared" si="144"/>
        <v/>
      </c>
      <c r="BK91" s="184" t="str">
        <f t="shared" si="145"/>
        <v/>
      </c>
      <c r="BL91" s="184" t="str">
        <f t="shared" si="146"/>
        <v/>
      </c>
      <c r="BM91" s="184" t="str">
        <f t="shared" si="147"/>
        <v/>
      </c>
      <c r="BN91" s="184" t="str">
        <f t="shared" si="148"/>
        <v/>
      </c>
      <c r="BO91" s="184" t="str">
        <f t="shared" si="149"/>
        <v/>
      </c>
      <c r="BP91" s="184" t="str">
        <f t="shared" si="150"/>
        <v/>
      </c>
      <c r="BQ91" s="184" t="str">
        <f t="shared" si="151"/>
        <v/>
      </c>
      <c r="BR91" s="184" t="str">
        <f t="shared" si="152"/>
        <v/>
      </c>
      <c r="BS91" s="184" t="str">
        <f t="shared" si="152"/>
        <v/>
      </c>
      <c r="BT91" s="184" t="str">
        <f t="shared" si="152"/>
        <v/>
      </c>
      <c r="BU91" s="184" t="str">
        <f t="shared" si="153"/>
        <v/>
      </c>
      <c r="BV91" s="184" t="str">
        <f t="shared" si="154"/>
        <v/>
      </c>
      <c r="BW91" s="184" t="str">
        <f t="shared" si="155"/>
        <v/>
      </c>
      <c r="BX91" s="184" t="str">
        <f t="shared" si="156"/>
        <v/>
      </c>
      <c r="BY91" s="184" t="str">
        <f t="shared" si="157"/>
        <v/>
      </c>
      <c r="BZ91" s="184" t="str">
        <f t="shared" si="158"/>
        <v/>
      </c>
      <c r="CA91" s="184" t="str">
        <f t="shared" si="159"/>
        <v/>
      </c>
      <c r="CB91" s="184" t="str">
        <f t="shared" si="160"/>
        <v/>
      </c>
      <c r="CC91" s="184" t="str">
        <f t="shared" si="161"/>
        <v/>
      </c>
      <c r="CD91" s="184" t="str">
        <f t="shared" si="162"/>
        <v/>
      </c>
      <c r="CE91" s="184" t="str">
        <f t="shared" si="163"/>
        <v/>
      </c>
      <c r="CF91" s="184" t="str">
        <f t="shared" si="164"/>
        <v/>
      </c>
      <c r="CG91" s="184" t="str">
        <f t="shared" si="165"/>
        <v/>
      </c>
      <c r="CH91" s="184" t="str">
        <f t="shared" si="166"/>
        <v/>
      </c>
      <c r="CI91" s="184" t="str">
        <f t="shared" si="167"/>
        <v/>
      </c>
      <c r="CJ91" s="184" t="str">
        <f t="shared" si="168"/>
        <v/>
      </c>
      <c r="CK91" s="184"/>
      <c r="CM91" s="184"/>
      <c r="CN91"/>
      <c r="CP91"/>
      <c r="CR91"/>
      <c r="CT91"/>
      <c r="CV91"/>
      <c r="CX91"/>
      <c r="CZ91"/>
      <c r="DB91"/>
      <c r="DD91"/>
      <c r="DF91"/>
      <c r="ED91" s="184"/>
      <c r="EF91" s="184"/>
      <c r="EH91" s="184"/>
      <c r="EJ91" s="184"/>
      <c r="EL91" s="184"/>
      <c r="EN91" s="184"/>
      <c r="EP91" s="184"/>
      <c r="ER91" s="184"/>
      <c r="ET91" s="184"/>
      <c r="EV91" s="184"/>
      <c r="EX91" s="184"/>
      <c r="EZ91" s="184"/>
      <c r="FB91" s="184"/>
    </row>
    <row r="92" spans="1:189">
      <c r="A92" s="184">
        <f t="shared" si="127"/>
        <v>-24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>
        <f t="shared" si="123"/>
        <v>45000</v>
      </c>
      <c r="AT92" s="184" t="str">
        <f t="shared" si="128"/>
        <v/>
      </c>
      <c r="AU92" s="184" t="str">
        <f t="shared" si="129"/>
        <v/>
      </c>
      <c r="AV92" s="184" t="str">
        <f t="shared" si="130"/>
        <v/>
      </c>
      <c r="AW92" s="184" t="str">
        <f t="shared" si="131"/>
        <v/>
      </c>
      <c r="AX92" s="184" t="str">
        <f t="shared" si="132"/>
        <v/>
      </c>
      <c r="AY92" s="184" t="str">
        <f t="shared" si="133"/>
        <v/>
      </c>
      <c r="AZ92" s="184" t="str">
        <f t="shared" si="134"/>
        <v/>
      </c>
      <c r="BA92" s="184" t="str">
        <f t="shared" si="135"/>
        <v/>
      </c>
      <c r="BB92" s="184" t="str">
        <f t="shared" si="136"/>
        <v/>
      </c>
      <c r="BC92" s="184" t="str">
        <f t="shared" si="137"/>
        <v/>
      </c>
      <c r="BD92" s="184" t="str">
        <f t="shared" si="138"/>
        <v/>
      </c>
      <c r="BE92" s="184" t="str">
        <f t="shared" si="139"/>
        <v/>
      </c>
      <c r="BF92" s="184" t="str">
        <f t="shared" si="140"/>
        <v/>
      </c>
      <c r="BG92" s="184" t="str">
        <f t="shared" si="141"/>
        <v/>
      </c>
      <c r="BH92" s="184" t="str">
        <f t="shared" si="142"/>
        <v/>
      </c>
      <c r="BI92" s="184" t="str">
        <f t="shared" si="143"/>
        <v/>
      </c>
      <c r="BJ92" s="184" t="str">
        <f t="shared" si="144"/>
        <v/>
      </c>
      <c r="BK92" s="184" t="str">
        <f t="shared" si="145"/>
        <v/>
      </c>
      <c r="BL92" s="184" t="str">
        <f t="shared" si="146"/>
        <v/>
      </c>
      <c r="BM92" s="184" t="str">
        <f t="shared" si="147"/>
        <v/>
      </c>
      <c r="BN92" s="184" t="str">
        <f t="shared" si="148"/>
        <v/>
      </c>
      <c r="BO92" s="184" t="str">
        <f t="shared" si="149"/>
        <v/>
      </c>
      <c r="BP92" s="184" t="str">
        <f t="shared" si="150"/>
        <v/>
      </c>
      <c r="BQ92" s="184" t="str">
        <f t="shared" si="151"/>
        <v/>
      </c>
      <c r="BR92" s="184" t="str">
        <f t="shared" si="152"/>
        <v/>
      </c>
      <c r="BS92" s="184" t="str">
        <f t="shared" si="152"/>
        <v/>
      </c>
      <c r="BT92" s="184" t="str">
        <f t="shared" si="152"/>
        <v/>
      </c>
      <c r="BU92" s="184" t="str">
        <f t="shared" si="153"/>
        <v/>
      </c>
      <c r="BV92" s="184" t="str">
        <f t="shared" si="154"/>
        <v/>
      </c>
      <c r="BW92" s="184" t="str">
        <f t="shared" si="155"/>
        <v/>
      </c>
      <c r="BX92" s="184" t="str">
        <f t="shared" si="156"/>
        <v/>
      </c>
      <c r="BY92" s="184" t="str">
        <f t="shared" si="157"/>
        <v/>
      </c>
      <c r="BZ92" s="184" t="str">
        <f t="shared" si="158"/>
        <v/>
      </c>
      <c r="CA92" s="184" t="str">
        <f t="shared" si="159"/>
        <v/>
      </c>
      <c r="CB92" s="184" t="str">
        <f t="shared" si="160"/>
        <v/>
      </c>
      <c r="CC92" s="184" t="str">
        <f t="shared" si="161"/>
        <v/>
      </c>
      <c r="CD92" s="184" t="str">
        <f t="shared" si="162"/>
        <v/>
      </c>
      <c r="CE92" s="184" t="str">
        <f t="shared" si="163"/>
        <v/>
      </c>
      <c r="CF92" s="184" t="str">
        <f t="shared" si="164"/>
        <v/>
      </c>
      <c r="CG92" s="184" t="str">
        <f t="shared" si="165"/>
        <v/>
      </c>
      <c r="CH92" s="184" t="str">
        <f t="shared" si="166"/>
        <v/>
      </c>
      <c r="CI92" s="184" t="str">
        <f t="shared" si="167"/>
        <v/>
      </c>
      <c r="CJ92" s="184" t="str">
        <f t="shared" si="168"/>
        <v/>
      </c>
      <c r="CK92" s="184"/>
      <c r="CM92" s="184"/>
      <c r="CN92"/>
      <c r="CP92"/>
      <c r="CR92"/>
      <c r="CT92"/>
      <c r="CV92"/>
      <c r="CX92"/>
      <c r="CZ92"/>
      <c r="DB92"/>
      <c r="DD92"/>
      <c r="DF92"/>
      <c r="ED92" s="184"/>
      <c r="EF92" s="184"/>
      <c r="EH92" s="184"/>
      <c r="EJ92" s="184"/>
      <c r="EL92" s="184"/>
      <c r="EN92" s="184"/>
      <c r="EP92" s="184"/>
      <c r="ER92" s="184"/>
      <c r="ET92" s="184"/>
      <c r="EV92" s="184"/>
      <c r="EX92" s="184"/>
      <c r="EZ92" s="184"/>
      <c r="FB92" s="184"/>
    </row>
    <row r="93" spans="1:189">
      <c r="A93" s="184">
        <f t="shared" si="127"/>
        <v>-23.5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>
        <f t="shared" si="123"/>
        <v>45000</v>
      </c>
      <c r="AT93" s="184" t="str">
        <f t="shared" si="128"/>
        <v/>
      </c>
      <c r="AU93" s="184" t="str">
        <f t="shared" si="129"/>
        <v/>
      </c>
      <c r="AV93" s="184" t="str">
        <f t="shared" si="130"/>
        <v/>
      </c>
      <c r="AW93" s="184" t="str">
        <f t="shared" si="131"/>
        <v/>
      </c>
      <c r="AX93" s="184" t="str">
        <f t="shared" si="132"/>
        <v/>
      </c>
      <c r="AY93" s="184" t="str">
        <f t="shared" si="133"/>
        <v/>
      </c>
      <c r="AZ93" s="184" t="str">
        <f t="shared" si="134"/>
        <v/>
      </c>
      <c r="BA93" s="184" t="str">
        <f t="shared" si="135"/>
        <v/>
      </c>
      <c r="BB93" s="184" t="str">
        <f t="shared" si="136"/>
        <v/>
      </c>
      <c r="BC93" s="184" t="str">
        <f t="shared" si="137"/>
        <v/>
      </c>
      <c r="BD93" s="184" t="str">
        <f t="shared" si="138"/>
        <v/>
      </c>
      <c r="BE93" s="184" t="str">
        <f t="shared" si="139"/>
        <v/>
      </c>
      <c r="BF93" s="184" t="str">
        <f t="shared" si="140"/>
        <v/>
      </c>
      <c r="BG93" s="184" t="str">
        <f t="shared" si="141"/>
        <v/>
      </c>
      <c r="BH93" s="184" t="str">
        <f t="shared" si="142"/>
        <v/>
      </c>
      <c r="BI93" s="184" t="str">
        <f t="shared" si="143"/>
        <v/>
      </c>
      <c r="BJ93" s="184" t="str">
        <f t="shared" si="144"/>
        <v/>
      </c>
      <c r="BK93" s="184" t="str">
        <f t="shared" si="145"/>
        <v/>
      </c>
      <c r="BL93" s="184" t="str">
        <f t="shared" si="146"/>
        <v/>
      </c>
      <c r="BM93" s="184" t="str">
        <f t="shared" si="147"/>
        <v/>
      </c>
      <c r="BN93" s="184" t="str">
        <f t="shared" si="148"/>
        <v/>
      </c>
      <c r="BO93" s="184" t="str">
        <f t="shared" si="149"/>
        <v/>
      </c>
      <c r="BP93" s="184" t="str">
        <f t="shared" si="150"/>
        <v/>
      </c>
      <c r="BQ93" s="184" t="str">
        <f t="shared" si="151"/>
        <v/>
      </c>
      <c r="BR93" s="184" t="str">
        <f t="shared" si="152"/>
        <v/>
      </c>
      <c r="BS93" s="184" t="str">
        <f t="shared" si="152"/>
        <v/>
      </c>
      <c r="BT93" s="184" t="str">
        <f t="shared" si="152"/>
        <v/>
      </c>
      <c r="BU93" s="184" t="str">
        <f t="shared" si="153"/>
        <v/>
      </c>
      <c r="BV93" s="184" t="str">
        <f t="shared" si="154"/>
        <v/>
      </c>
      <c r="BW93" s="184" t="str">
        <f t="shared" si="155"/>
        <v/>
      </c>
      <c r="BX93" s="184" t="str">
        <f t="shared" si="156"/>
        <v/>
      </c>
      <c r="BY93" s="184" t="str">
        <f t="shared" si="157"/>
        <v/>
      </c>
      <c r="BZ93" s="184" t="str">
        <f t="shared" si="158"/>
        <v/>
      </c>
      <c r="CA93" s="184" t="str">
        <f t="shared" si="159"/>
        <v/>
      </c>
      <c r="CB93" s="184" t="str">
        <f t="shared" si="160"/>
        <v/>
      </c>
      <c r="CC93" s="184" t="str">
        <f t="shared" si="161"/>
        <v/>
      </c>
      <c r="CD93" s="184" t="str">
        <f t="shared" si="162"/>
        <v/>
      </c>
      <c r="CE93" s="184" t="str">
        <f t="shared" si="163"/>
        <v/>
      </c>
      <c r="CF93" s="184" t="str">
        <f t="shared" si="164"/>
        <v/>
      </c>
      <c r="CG93" s="184" t="str">
        <f t="shared" si="165"/>
        <v/>
      </c>
      <c r="CH93" s="184" t="str">
        <f t="shared" si="166"/>
        <v/>
      </c>
      <c r="CI93" s="184" t="str">
        <f t="shared" si="167"/>
        <v/>
      </c>
      <c r="CJ93" s="184" t="str">
        <f t="shared" si="168"/>
        <v/>
      </c>
      <c r="CK93" s="184"/>
      <c r="CM93" s="184"/>
      <c r="CN93"/>
      <c r="CP93"/>
      <c r="CR93"/>
      <c r="CT93"/>
      <c r="CV93"/>
      <c r="CX93"/>
      <c r="CZ93"/>
      <c r="DB93"/>
      <c r="DD93"/>
      <c r="DF93"/>
      <c r="ED93" s="184"/>
      <c r="EF93" s="184"/>
      <c r="EH93" s="184"/>
      <c r="EJ93" s="184"/>
      <c r="EL93" s="184"/>
      <c r="EN93" s="184"/>
      <c r="EP93" s="184"/>
      <c r="ER93" s="184"/>
      <c r="ET93" s="184"/>
      <c r="EV93" s="184"/>
      <c r="EX93" s="184"/>
      <c r="EZ93" s="184"/>
      <c r="FB93" s="184"/>
    </row>
    <row r="94" spans="1:189">
      <c r="A94" s="184">
        <f t="shared" si="127"/>
        <v>-23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>
        <f t="shared" si="123"/>
        <v>45000</v>
      </c>
      <c r="AT94" s="184" t="str">
        <f t="shared" si="128"/>
        <v/>
      </c>
      <c r="AU94" s="184" t="str">
        <f t="shared" si="129"/>
        <v/>
      </c>
      <c r="AV94" s="184" t="str">
        <f t="shared" si="130"/>
        <v/>
      </c>
      <c r="AW94" s="184" t="str">
        <f t="shared" si="131"/>
        <v/>
      </c>
      <c r="AX94" s="184" t="str">
        <f t="shared" si="132"/>
        <v/>
      </c>
      <c r="AY94" s="184" t="str">
        <f t="shared" si="133"/>
        <v/>
      </c>
      <c r="AZ94" s="184" t="str">
        <f t="shared" si="134"/>
        <v/>
      </c>
      <c r="BA94" s="184" t="str">
        <f t="shared" si="135"/>
        <v/>
      </c>
      <c r="BB94" s="184" t="str">
        <f t="shared" si="136"/>
        <v/>
      </c>
      <c r="BC94" s="184" t="str">
        <f t="shared" si="137"/>
        <v/>
      </c>
      <c r="BD94" s="184" t="str">
        <f t="shared" si="138"/>
        <v/>
      </c>
      <c r="BE94" s="184" t="str">
        <f t="shared" si="139"/>
        <v/>
      </c>
      <c r="BF94" s="184" t="str">
        <f t="shared" si="140"/>
        <v/>
      </c>
      <c r="BG94" s="184" t="str">
        <f t="shared" si="141"/>
        <v/>
      </c>
      <c r="BH94" s="184" t="str">
        <f t="shared" si="142"/>
        <v/>
      </c>
      <c r="BI94" s="184" t="str">
        <f t="shared" si="143"/>
        <v/>
      </c>
      <c r="BJ94" s="184" t="str">
        <f t="shared" si="144"/>
        <v/>
      </c>
      <c r="BK94" s="184" t="str">
        <f t="shared" si="145"/>
        <v/>
      </c>
      <c r="BL94" s="184" t="str">
        <f t="shared" si="146"/>
        <v/>
      </c>
      <c r="BM94" s="184" t="str">
        <f t="shared" si="147"/>
        <v/>
      </c>
      <c r="BN94" s="184" t="str">
        <f t="shared" si="148"/>
        <v/>
      </c>
      <c r="BO94" s="184" t="str">
        <f t="shared" si="149"/>
        <v/>
      </c>
      <c r="BP94" s="184" t="str">
        <f t="shared" si="150"/>
        <v/>
      </c>
      <c r="BQ94" s="184" t="str">
        <f t="shared" si="151"/>
        <v/>
      </c>
      <c r="BR94" s="184" t="str">
        <f t="shared" si="152"/>
        <v/>
      </c>
      <c r="BS94" s="184" t="str">
        <f t="shared" si="152"/>
        <v/>
      </c>
      <c r="BT94" s="184" t="str">
        <f t="shared" si="152"/>
        <v/>
      </c>
      <c r="BU94" s="184" t="str">
        <f t="shared" si="153"/>
        <v/>
      </c>
      <c r="BV94" s="184" t="str">
        <f t="shared" si="154"/>
        <v/>
      </c>
      <c r="BW94" s="184" t="str">
        <f t="shared" si="155"/>
        <v/>
      </c>
      <c r="BX94" s="184" t="str">
        <f t="shared" si="156"/>
        <v/>
      </c>
      <c r="BY94" s="184" t="str">
        <f t="shared" si="157"/>
        <v/>
      </c>
      <c r="BZ94" s="184" t="str">
        <f t="shared" si="158"/>
        <v/>
      </c>
      <c r="CA94" s="184" t="str">
        <f t="shared" si="159"/>
        <v/>
      </c>
      <c r="CB94" s="184" t="str">
        <f t="shared" si="160"/>
        <v/>
      </c>
      <c r="CC94" s="184" t="str">
        <f t="shared" si="161"/>
        <v/>
      </c>
      <c r="CD94" s="184" t="str">
        <f t="shared" si="162"/>
        <v/>
      </c>
      <c r="CE94" s="184" t="str">
        <f t="shared" si="163"/>
        <v/>
      </c>
      <c r="CF94" s="184" t="str">
        <f t="shared" si="164"/>
        <v/>
      </c>
      <c r="CG94" s="184" t="str">
        <f t="shared" si="165"/>
        <v/>
      </c>
      <c r="CH94" s="184" t="str">
        <f t="shared" si="166"/>
        <v/>
      </c>
      <c r="CI94" s="184" t="str">
        <f t="shared" si="167"/>
        <v/>
      </c>
      <c r="CJ94" s="184" t="str">
        <f t="shared" si="168"/>
        <v/>
      </c>
      <c r="CK94" s="184"/>
      <c r="CM94" s="184"/>
      <c r="CN94"/>
      <c r="CP94"/>
      <c r="CR94"/>
      <c r="CT94"/>
      <c r="CV94"/>
      <c r="CX94"/>
      <c r="CZ94"/>
      <c r="DB94"/>
      <c r="DD94"/>
      <c r="DF94"/>
      <c r="ED94" s="184"/>
      <c r="EF94" s="184"/>
      <c r="EH94" s="184"/>
      <c r="EJ94" s="184"/>
      <c r="EL94" s="184"/>
      <c r="EN94" s="184"/>
      <c r="EP94" s="184"/>
      <c r="ER94" s="184"/>
      <c r="ET94" s="184"/>
      <c r="EV94" s="184"/>
      <c r="EX94" s="184"/>
      <c r="EZ94" s="184"/>
      <c r="FB94" s="184"/>
    </row>
    <row r="95" spans="1:189">
      <c r="A95" s="184">
        <f t="shared" si="127"/>
        <v>-22.5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>
        <f t="shared" si="123"/>
        <v>45000</v>
      </c>
      <c r="AT95" s="184" t="str">
        <f t="shared" si="128"/>
        <v/>
      </c>
      <c r="AU95" s="184" t="str">
        <f t="shared" si="129"/>
        <v/>
      </c>
      <c r="AV95" s="184" t="str">
        <f t="shared" si="130"/>
        <v/>
      </c>
      <c r="AW95" s="184" t="str">
        <f t="shared" si="131"/>
        <v/>
      </c>
      <c r="AX95" s="184" t="str">
        <f t="shared" si="132"/>
        <v/>
      </c>
      <c r="AY95" s="184" t="str">
        <f t="shared" si="133"/>
        <v/>
      </c>
      <c r="AZ95" s="184" t="str">
        <f t="shared" si="134"/>
        <v/>
      </c>
      <c r="BA95" s="184" t="str">
        <f t="shared" si="135"/>
        <v/>
      </c>
      <c r="BB95" s="184" t="str">
        <f t="shared" si="136"/>
        <v/>
      </c>
      <c r="BC95" s="184" t="str">
        <f t="shared" si="137"/>
        <v/>
      </c>
      <c r="BD95" s="184" t="str">
        <f t="shared" si="138"/>
        <v/>
      </c>
      <c r="BE95" s="184" t="str">
        <f t="shared" si="139"/>
        <v/>
      </c>
      <c r="BF95" s="184" t="str">
        <f t="shared" si="140"/>
        <v/>
      </c>
      <c r="BG95" s="184" t="str">
        <f t="shared" si="141"/>
        <v/>
      </c>
      <c r="BH95" s="184" t="str">
        <f t="shared" si="142"/>
        <v/>
      </c>
      <c r="BI95" s="184" t="str">
        <f t="shared" si="143"/>
        <v/>
      </c>
      <c r="BJ95" s="184" t="str">
        <f t="shared" si="144"/>
        <v/>
      </c>
      <c r="BK95" s="184" t="str">
        <f t="shared" si="145"/>
        <v/>
      </c>
      <c r="BL95" s="184" t="str">
        <f t="shared" si="146"/>
        <v/>
      </c>
      <c r="BM95" s="184" t="str">
        <f t="shared" si="147"/>
        <v/>
      </c>
      <c r="BN95" s="184" t="str">
        <f t="shared" si="148"/>
        <v/>
      </c>
      <c r="BO95" s="184" t="str">
        <f t="shared" si="149"/>
        <v/>
      </c>
      <c r="BP95" s="184" t="str">
        <f t="shared" si="150"/>
        <v/>
      </c>
      <c r="BQ95" s="184" t="str">
        <f t="shared" si="151"/>
        <v/>
      </c>
      <c r="BR95" s="184" t="str">
        <f t="shared" si="152"/>
        <v/>
      </c>
      <c r="BS95" s="184" t="str">
        <f t="shared" si="152"/>
        <v/>
      </c>
      <c r="BT95" s="184" t="str">
        <f t="shared" si="152"/>
        <v/>
      </c>
      <c r="BU95" s="184" t="str">
        <f t="shared" si="153"/>
        <v/>
      </c>
      <c r="BV95" s="184" t="str">
        <f t="shared" si="154"/>
        <v/>
      </c>
      <c r="BW95" s="184" t="str">
        <f t="shared" si="155"/>
        <v/>
      </c>
      <c r="BX95" s="184" t="str">
        <f t="shared" si="156"/>
        <v/>
      </c>
      <c r="BY95" s="184" t="str">
        <f t="shared" si="157"/>
        <v/>
      </c>
      <c r="BZ95" s="184" t="str">
        <f t="shared" si="158"/>
        <v/>
      </c>
      <c r="CA95" s="184" t="str">
        <f t="shared" si="159"/>
        <v/>
      </c>
      <c r="CB95" s="184" t="str">
        <f t="shared" si="160"/>
        <v/>
      </c>
      <c r="CC95" s="184" t="str">
        <f t="shared" si="161"/>
        <v/>
      </c>
      <c r="CD95" s="184" t="str">
        <f t="shared" si="162"/>
        <v/>
      </c>
      <c r="CE95" s="184" t="str">
        <f t="shared" si="163"/>
        <v/>
      </c>
      <c r="CF95" s="184" t="str">
        <f t="shared" si="164"/>
        <v/>
      </c>
      <c r="CG95" s="184" t="str">
        <f t="shared" si="165"/>
        <v/>
      </c>
      <c r="CH95" s="184" t="str">
        <f t="shared" si="166"/>
        <v/>
      </c>
      <c r="CI95" s="184" t="str">
        <f t="shared" si="167"/>
        <v/>
      </c>
      <c r="CJ95" s="184" t="str">
        <f t="shared" si="168"/>
        <v/>
      </c>
      <c r="CK95" s="184"/>
      <c r="CM95" s="184"/>
      <c r="CN95"/>
      <c r="CP95"/>
      <c r="CR95"/>
      <c r="CT95"/>
      <c r="CV95"/>
      <c r="CX95"/>
      <c r="CZ95"/>
      <c r="DB95"/>
      <c r="DD95"/>
      <c r="DF95"/>
      <c r="ED95" s="184"/>
      <c r="EF95" s="184"/>
      <c r="EH95" s="184"/>
      <c r="EJ95" s="184"/>
      <c r="EL95" s="184"/>
      <c r="EN95" s="184"/>
      <c r="EP95" s="184"/>
      <c r="ER95" s="184"/>
      <c r="ET95" s="184"/>
      <c r="EV95" s="184"/>
      <c r="EX95" s="184"/>
      <c r="EZ95" s="184"/>
      <c r="FB95" s="184"/>
    </row>
    <row r="96" spans="1:189">
      <c r="A96" s="184">
        <f t="shared" si="127"/>
        <v>-22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>
        <f t="shared" si="123"/>
        <v>45000</v>
      </c>
      <c r="AT96" s="184" t="str">
        <f t="shared" si="128"/>
        <v/>
      </c>
      <c r="AU96" s="184" t="str">
        <f t="shared" si="129"/>
        <v/>
      </c>
      <c r="AV96" s="184" t="str">
        <f t="shared" si="130"/>
        <v/>
      </c>
      <c r="AW96" s="184" t="str">
        <f t="shared" si="131"/>
        <v/>
      </c>
      <c r="AX96" s="184" t="str">
        <f t="shared" si="132"/>
        <v/>
      </c>
      <c r="AY96" s="184" t="str">
        <f t="shared" si="133"/>
        <v/>
      </c>
      <c r="AZ96" s="184" t="str">
        <f t="shared" si="134"/>
        <v/>
      </c>
      <c r="BA96" s="184" t="str">
        <f t="shared" si="135"/>
        <v/>
      </c>
      <c r="BB96" s="184" t="str">
        <f t="shared" si="136"/>
        <v/>
      </c>
      <c r="BC96" s="184" t="str">
        <f t="shared" si="137"/>
        <v/>
      </c>
      <c r="BD96" s="184" t="str">
        <f t="shared" si="138"/>
        <v/>
      </c>
      <c r="BE96" s="184" t="str">
        <f t="shared" si="139"/>
        <v/>
      </c>
      <c r="BF96" s="184" t="str">
        <f t="shared" si="140"/>
        <v/>
      </c>
      <c r="BG96" s="184" t="str">
        <f t="shared" si="141"/>
        <v/>
      </c>
      <c r="BH96" s="184" t="str">
        <f t="shared" si="142"/>
        <v/>
      </c>
      <c r="BI96" s="184" t="str">
        <f t="shared" si="143"/>
        <v/>
      </c>
      <c r="BJ96" s="184" t="str">
        <f t="shared" si="144"/>
        <v/>
      </c>
      <c r="BK96" s="184" t="str">
        <f t="shared" si="145"/>
        <v/>
      </c>
      <c r="BL96" s="184" t="str">
        <f t="shared" si="146"/>
        <v/>
      </c>
      <c r="BM96" s="184" t="str">
        <f t="shared" si="147"/>
        <v/>
      </c>
      <c r="BN96" s="184" t="str">
        <f t="shared" si="148"/>
        <v/>
      </c>
      <c r="BO96" s="184" t="str">
        <f t="shared" si="149"/>
        <v/>
      </c>
      <c r="BP96" s="184" t="str">
        <f t="shared" si="150"/>
        <v/>
      </c>
      <c r="BQ96" s="184" t="str">
        <f t="shared" si="151"/>
        <v/>
      </c>
      <c r="BR96" s="184" t="str">
        <f t="shared" si="152"/>
        <v/>
      </c>
      <c r="BS96" s="184" t="str">
        <f t="shared" si="152"/>
        <v/>
      </c>
      <c r="BT96" s="184" t="str">
        <f t="shared" si="152"/>
        <v/>
      </c>
      <c r="BU96" s="184" t="str">
        <f t="shared" si="153"/>
        <v/>
      </c>
      <c r="BV96" s="184" t="str">
        <f t="shared" si="154"/>
        <v/>
      </c>
      <c r="BW96" s="184" t="str">
        <f t="shared" si="155"/>
        <v/>
      </c>
      <c r="BX96" s="184" t="str">
        <f t="shared" si="156"/>
        <v/>
      </c>
      <c r="BY96" s="184" t="str">
        <f t="shared" si="157"/>
        <v/>
      </c>
      <c r="BZ96" s="184" t="str">
        <f t="shared" si="158"/>
        <v/>
      </c>
      <c r="CA96" s="184" t="str">
        <f t="shared" si="159"/>
        <v/>
      </c>
      <c r="CB96" s="184" t="str">
        <f t="shared" si="160"/>
        <v/>
      </c>
      <c r="CC96" s="184" t="str">
        <f t="shared" si="161"/>
        <v/>
      </c>
      <c r="CD96" s="184" t="str">
        <f t="shared" si="162"/>
        <v/>
      </c>
      <c r="CE96" s="184" t="str">
        <f t="shared" si="163"/>
        <v/>
      </c>
      <c r="CF96" s="184" t="str">
        <f t="shared" si="164"/>
        <v/>
      </c>
      <c r="CG96" s="184" t="str">
        <f t="shared" si="165"/>
        <v/>
      </c>
      <c r="CH96" s="184" t="str">
        <f t="shared" si="166"/>
        <v/>
      </c>
      <c r="CI96" s="184" t="str">
        <f t="shared" si="167"/>
        <v/>
      </c>
      <c r="CJ96" s="184" t="str">
        <f t="shared" si="168"/>
        <v/>
      </c>
      <c r="CK96" s="184"/>
      <c r="CM96" s="184"/>
      <c r="CN96"/>
      <c r="CP96"/>
      <c r="CR96"/>
      <c r="CT96"/>
      <c r="CV96"/>
      <c r="CX96"/>
      <c r="CZ96"/>
      <c r="DB96"/>
      <c r="DD96"/>
      <c r="DF96"/>
      <c r="ED96" s="184"/>
      <c r="EF96" s="184"/>
      <c r="EH96" s="184"/>
      <c r="EJ96" s="184"/>
      <c r="EL96" s="184"/>
      <c r="EN96" s="184"/>
      <c r="EP96" s="184"/>
      <c r="ER96" s="184"/>
      <c r="ET96" s="184"/>
      <c r="EV96" s="184"/>
      <c r="EX96" s="184"/>
      <c r="EZ96" s="184"/>
      <c r="FB96" s="184"/>
    </row>
    <row r="97" spans="1:158">
      <c r="A97" s="184">
        <f t="shared" si="127"/>
        <v>-21.5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>
        <f t="shared" si="123"/>
        <v>45000</v>
      </c>
      <c r="AT97" s="184" t="str">
        <f t="shared" si="128"/>
        <v/>
      </c>
      <c r="AU97" s="184" t="str">
        <f t="shared" si="129"/>
        <v/>
      </c>
      <c r="AV97" s="184" t="str">
        <f t="shared" si="130"/>
        <v/>
      </c>
      <c r="AW97" s="184" t="str">
        <f t="shared" si="131"/>
        <v/>
      </c>
      <c r="AX97" s="184" t="str">
        <f t="shared" si="132"/>
        <v/>
      </c>
      <c r="AY97" s="184" t="str">
        <f t="shared" si="133"/>
        <v/>
      </c>
      <c r="AZ97" s="184" t="str">
        <f t="shared" si="134"/>
        <v/>
      </c>
      <c r="BA97" s="184" t="str">
        <f t="shared" si="135"/>
        <v/>
      </c>
      <c r="BB97" s="184" t="str">
        <f t="shared" si="136"/>
        <v/>
      </c>
      <c r="BC97" s="184" t="str">
        <f t="shared" si="137"/>
        <v/>
      </c>
      <c r="BD97" s="184" t="str">
        <f t="shared" si="138"/>
        <v/>
      </c>
      <c r="BE97" s="184" t="str">
        <f t="shared" si="139"/>
        <v/>
      </c>
      <c r="BF97" s="184" t="str">
        <f t="shared" si="140"/>
        <v/>
      </c>
      <c r="BG97" s="184" t="str">
        <f t="shared" si="141"/>
        <v/>
      </c>
      <c r="BH97" s="184" t="str">
        <f t="shared" si="142"/>
        <v/>
      </c>
      <c r="BI97" s="184" t="str">
        <f t="shared" si="143"/>
        <v/>
      </c>
      <c r="BJ97" s="184" t="str">
        <f t="shared" si="144"/>
        <v/>
      </c>
      <c r="BK97" s="184" t="str">
        <f t="shared" si="145"/>
        <v/>
      </c>
      <c r="BL97" s="184" t="str">
        <f t="shared" si="146"/>
        <v/>
      </c>
      <c r="BM97" s="184" t="str">
        <f t="shared" si="147"/>
        <v/>
      </c>
      <c r="BN97" s="184" t="str">
        <f t="shared" si="148"/>
        <v/>
      </c>
      <c r="BO97" s="184" t="str">
        <f t="shared" si="149"/>
        <v/>
      </c>
      <c r="BP97" s="184" t="str">
        <f t="shared" si="150"/>
        <v/>
      </c>
      <c r="BQ97" s="184" t="str">
        <f t="shared" si="151"/>
        <v/>
      </c>
      <c r="BR97" s="184" t="str">
        <f t="shared" si="152"/>
        <v/>
      </c>
      <c r="BS97" s="184" t="str">
        <f t="shared" si="152"/>
        <v/>
      </c>
      <c r="BT97" s="184" t="str">
        <f t="shared" si="152"/>
        <v/>
      </c>
      <c r="BU97" s="184" t="str">
        <f t="shared" si="153"/>
        <v/>
      </c>
      <c r="BV97" s="184" t="str">
        <f t="shared" si="154"/>
        <v/>
      </c>
      <c r="BW97" s="184" t="str">
        <f t="shared" si="155"/>
        <v/>
      </c>
      <c r="BX97" s="184" t="str">
        <f t="shared" si="156"/>
        <v/>
      </c>
      <c r="BY97" s="184" t="str">
        <f t="shared" si="157"/>
        <v/>
      </c>
      <c r="BZ97" s="184" t="str">
        <f t="shared" si="158"/>
        <v/>
      </c>
      <c r="CA97" s="184" t="str">
        <f t="shared" si="159"/>
        <v/>
      </c>
      <c r="CB97" s="184" t="str">
        <f t="shared" si="160"/>
        <v/>
      </c>
      <c r="CC97" s="184" t="str">
        <f t="shared" si="161"/>
        <v/>
      </c>
      <c r="CD97" s="184" t="str">
        <f t="shared" si="162"/>
        <v/>
      </c>
      <c r="CE97" s="184" t="str">
        <f t="shared" si="163"/>
        <v/>
      </c>
      <c r="CF97" s="184" t="str">
        <f t="shared" si="164"/>
        <v/>
      </c>
      <c r="CG97" s="184" t="str">
        <f t="shared" si="165"/>
        <v/>
      </c>
      <c r="CH97" s="184" t="str">
        <f t="shared" si="166"/>
        <v/>
      </c>
      <c r="CI97" s="184" t="str">
        <f t="shared" si="167"/>
        <v/>
      </c>
      <c r="CJ97" s="184" t="str">
        <f t="shared" si="168"/>
        <v/>
      </c>
      <c r="CK97" s="184"/>
      <c r="CM97" s="184"/>
      <c r="CN97"/>
      <c r="CP97"/>
      <c r="CR97"/>
      <c r="CT97"/>
      <c r="CV97"/>
      <c r="CX97"/>
      <c r="CZ97"/>
      <c r="DB97"/>
      <c r="DD97"/>
      <c r="DF97"/>
      <c r="ED97" s="184"/>
      <c r="EF97" s="184"/>
      <c r="EH97" s="184"/>
      <c r="EJ97" s="184"/>
      <c r="EL97" s="184"/>
      <c r="EN97" s="184"/>
      <c r="EP97" s="184"/>
      <c r="ER97" s="184"/>
      <c r="ET97" s="184"/>
      <c r="EV97" s="184"/>
      <c r="EX97" s="184"/>
      <c r="EZ97" s="184"/>
      <c r="FB97" s="184"/>
    </row>
    <row r="98" spans="1:158">
      <c r="A98" s="184">
        <f t="shared" si="127"/>
        <v>-21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>
        <f t="shared" si="123"/>
        <v>45000</v>
      </c>
      <c r="AT98" s="184" t="str">
        <f t="shared" si="128"/>
        <v/>
      </c>
      <c r="AU98" s="184" t="str">
        <f t="shared" si="129"/>
        <v/>
      </c>
      <c r="AV98" s="184" t="str">
        <f t="shared" si="130"/>
        <v/>
      </c>
      <c r="AW98" s="184" t="str">
        <f t="shared" si="131"/>
        <v/>
      </c>
      <c r="AX98" s="184" t="str">
        <f t="shared" si="132"/>
        <v/>
      </c>
      <c r="AY98" s="184" t="str">
        <f t="shared" si="133"/>
        <v/>
      </c>
      <c r="AZ98" s="184" t="str">
        <f t="shared" si="134"/>
        <v/>
      </c>
      <c r="BA98" s="184" t="str">
        <f t="shared" si="135"/>
        <v/>
      </c>
      <c r="BB98" s="184" t="str">
        <f t="shared" si="136"/>
        <v/>
      </c>
      <c r="BC98" s="184" t="str">
        <f t="shared" si="137"/>
        <v/>
      </c>
      <c r="BD98" s="184" t="str">
        <f t="shared" si="138"/>
        <v/>
      </c>
      <c r="BE98" s="184" t="str">
        <f t="shared" si="139"/>
        <v/>
      </c>
      <c r="BF98" s="184" t="str">
        <f t="shared" si="140"/>
        <v/>
      </c>
      <c r="BG98" s="184" t="str">
        <f t="shared" si="141"/>
        <v/>
      </c>
      <c r="BH98" s="184" t="str">
        <f t="shared" si="142"/>
        <v/>
      </c>
      <c r="BI98" s="184" t="str">
        <f t="shared" si="143"/>
        <v/>
      </c>
      <c r="BJ98" s="184" t="str">
        <f t="shared" si="144"/>
        <v/>
      </c>
      <c r="BK98" s="184" t="str">
        <f t="shared" si="145"/>
        <v/>
      </c>
      <c r="BL98" s="184" t="str">
        <f t="shared" si="146"/>
        <v/>
      </c>
      <c r="BM98" s="184" t="str">
        <f t="shared" si="147"/>
        <v/>
      </c>
      <c r="BN98" s="184" t="str">
        <f t="shared" si="148"/>
        <v/>
      </c>
      <c r="BO98" s="184" t="str">
        <f t="shared" si="149"/>
        <v/>
      </c>
      <c r="BP98" s="184" t="str">
        <f t="shared" si="150"/>
        <v/>
      </c>
      <c r="BQ98" s="184" t="str">
        <f t="shared" si="151"/>
        <v/>
      </c>
      <c r="BR98" s="184" t="str">
        <f t="shared" si="152"/>
        <v/>
      </c>
      <c r="BS98" s="184" t="str">
        <f t="shared" si="152"/>
        <v/>
      </c>
      <c r="BT98" s="184" t="str">
        <f t="shared" si="152"/>
        <v/>
      </c>
      <c r="BU98" s="184" t="str">
        <f t="shared" si="153"/>
        <v/>
      </c>
      <c r="BV98" s="184" t="str">
        <f t="shared" si="154"/>
        <v/>
      </c>
      <c r="BW98" s="184" t="str">
        <f t="shared" si="155"/>
        <v/>
      </c>
      <c r="BX98" s="184" t="str">
        <f t="shared" si="156"/>
        <v/>
      </c>
      <c r="BY98" s="184" t="str">
        <f t="shared" si="157"/>
        <v/>
      </c>
      <c r="BZ98" s="184" t="str">
        <f t="shared" si="158"/>
        <v/>
      </c>
      <c r="CA98" s="184" t="str">
        <f t="shared" si="159"/>
        <v/>
      </c>
      <c r="CB98" s="184" t="str">
        <f t="shared" si="160"/>
        <v/>
      </c>
      <c r="CC98" s="184" t="str">
        <f t="shared" si="161"/>
        <v/>
      </c>
      <c r="CD98" s="184" t="str">
        <f t="shared" si="162"/>
        <v/>
      </c>
      <c r="CE98" s="184" t="str">
        <f t="shared" si="163"/>
        <v/>
      </c>
      <c r="CF98" s="184" t="str">
        <f t="shared" si="164"/>
        <v/>
      </c>
      <c r="CG98" s="184" t="str">
        <f t="shared" si="165"/>
        <v/>
      </c>
      <c r="CH98" s="184" t="str">
        <f t="shared" si="166"/>
        <v/>
      </c>
      <c r="CI98" s="184" t="str">
        <f t="shared" si="167"/>
        <v/>
      </c>
      <c r="CJ98" s="184" t="str">
        <f t="shared" si="168"/>
        <v/>
      </c>
      <c r="CK98" s="184"/>
      <c r="CM98" s="184"/>
      <c r="CN98"/>
      <c r="CP98"/>
      <c r="CR98"/>
      <c r="CT98"/>
      <c r="CV98"/>
      <c r="CX98"/>
      <c r="CZ98"/>
      <c r="DB98"/>
      <c r="DD98"/>
      <c r="DF98"/>
      <c r="ED98" s="184"/>
      <c r="EF98" s="184"/>
      <c r="EH98" s="184"/>
      <c r="EJ98" s="184"/>
      <c r="EL98" s="184"/>
      <c r="EN98" s="184"/>
      <c r="EP98" s="184"/>
      <c r="ER98" s="184"/>
      <c r="ET98" s="184"/>
      <c r="EV98" s="184"/>
      <c r="EX98" s="184"/>
      <c r="EZ98" s="184"/>
      <c r="FB98" s="184"/>
    </row>
    <row r="99" spans="1:158">
      <c r="A99" s="184">
        <f t="shared" si="127"/>
        <v>-20.5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>
        <f t="shared" si="123"/>
        <v>45000</v>
      </c>
      <c r="AT99" s="184" t="str">
        <f t="shared" si="128"/>
        <v/>
      </c>
      <c r="AU99" s="184" t="str">
        <f t="shared" si="129"/>
        <v/>
      </c>
      <c r="AV99" s="184" t="str">
        <f t="shared" si="130"/>
        <v/>
      </c>
      <c r="AW99" s="184" t="str">
        <f t="shared" si="131"/>
        <v/>
      </c>
      <c r="AX99" s="184" t="str">
        <f t="shared" si="132"/>
        <v/>
      </c>
      <c r="AY99" s="184" t="str">
        <f t="shared" si="133"/>
        <v/>
      </c>
      <c r="AZ99" s="184" t="str">
        <f t="shared" si="134"/>
        <v/>
      </c>
      <c r="BA99" s="184" t="str">
        <f t="shared" si="135"/>
        <v/>
      </c>
      <c r="BB99" s="184" t="str">
        <f t="shared" si="136"/>
        <v/>
      </c>
      <c r="BC99" s="184" t="str">
        <f t="shared" si="137"/>
        <v/>
      </c>
      <c r="BD99" s="184" t="str">
        <f t="shared" si="138"/>
        <v/>
      </c>
      <c r="BE99" s="184" t="str">
        <f t="shared" si="139"/>
        <v/>
      </c>
      <c r="BF99" s="184" t="str">
        <f t="shared" si="140"/>
        <v/>
      </c>
      <c r="BG99" s="184" t="str">
        <f t="shared" si="141"/>
        <v/>
      </c>
      <c r="BH99" s="184" t="str">
        <f t="shared" si="142"/>
        <v/>
      </c>
      <c r="BI99" s="184" t="str">
        <f t="shared" si="143"/>
        <v/>
      </c>
      <c r="BJ99" s="184" t="str">
        <f t="shared" si="144"/>
        <v/>
      </c>
      <c r="BK99" s="184" t="str">
        <f t="shared" si="145"/>
        <v/>
      </c>
      <c r="BL99" s="184" t="str">
        <f t="shared" si="146"/>
        <v/>
      </c>
      <c r="BM99" s="184" t="str">
        <f t="shared" si="147"/>
        <v/>
      </c>
      <c r="BN99" s="184" t="str">
        <f t="shared" si="148"/>
        <v/>
      </c>
      <c r="BO99" s="184" t="str">
        <f t="shared" si="149"/>
        <v/>
      </c>
      <c r="BP99" s="184" t="str">
        <f t="shared" si="150"/>
        <v/>
      </c>
      <c r="BQ99" s="184" t="str">
        <f t="shared" si="151"/>
        <v/>
      </c>
      <c r="BR99" s="184" t="str">
        <f t="shared" si="152"/>
        <v/>
      </c>
      <c r="BS99" s="184" t="str">
        <f t="shared" si="152"/>
        <v/>
      </c>
      <c r="BT99" s="184" t="str">
        <f t="shared" si="152"/>
        <v/>
      </c>
      <c r="BU99" s="184" t="str">
        <f t="shared" si="153"/>
        <v/>
      </c>
      <c r="BV99" s="184" t="str">
        <f t="shared" si="154"/>
        <v/>
      </c>
      <c r="BW99" s="184" t="str">
        <f t="shared" si="155"/>
        <v/>
      </c>
      <c r="BX99" s="184" t="str">
        <f t="shared" si="156"/>
        <v/>
      </c>
      <c r="BY99" s="184" t="str">
        <f t="shared" si="157"/>
        <v/>
      </c>
      <c r="BZ99" s="184" t="str">
        <f t="shared" si="158"/>
        <v/>
      </c>
      <c r="CA99" s="184" t="str">
        <f t="shared" si="159"/>
        <v/>
      </c>
      <c r="CB99" s="184" t="str">
        <f t="shared" si="160"/>
        <v/>
      </c>
      <c r="CC99" s="184" t="str">
        <f t="shared" si="161"/>
        <v/>
      </c>
      <c r="CD99" s="184" t="str">
        <f t="shared" si="162"/>
        <v/>
      </c>
      <c r="CE99" s="184" t="str">
        <f t="shared" si="163"/>
        <v/>
      </c>
      <c r="CF99" s="184" t="str">
        <f t="shared" si="164"/>
        <v/>
      </c>
      <c r="CG99" s="184" t="str">
        <f t="shared" si="165"/>
        <v/>
      </c>
      <c r="CH99" s="184" t="str">
        <f t="shared" si="166"/>
        <v/>
      </c>
      <c r="CI99" s="184" t="str">
        <f t="shared" si="167"/>
        <v/>
      </c>
      <c r="CJ99" s="184" t="str">
        <f t="shared" si="168"/>
        <v/>
      </c>
      <c r="CK99" s="184"/>
      <c r="CM99" s="184"/>
      <c r="CN99"/>
      <c r="CP99"/>
      <c r="CR99"/>
      <c r="CT99"/>
      <c r="CV99"/>
      <c r="CX99"/>
      <c r="CZ99"/>
      <c r="DB99"/>
      <c r="DD99"/>
      <c r="DF99"/>
      <c r="ED99" s="184"/>
      <c r="EF99" s="184"/>
      <c r="EH99" s="184"/>
      <c r="EJ99" s="184"/>
      <c r="EL99" s="184"/>
      <c r="EN99" s="184"/>
      <c r="EP99" s="184"/>
      <c r="ER99" s="184"/>
      <c r="ET99" s="184"/>
      <c r="EV99" s="184"/>
      <c r="EX99" s="184"/>
      <c r="EZ99" s="184"/>
      <c r="FB99" s="184"/>
    </row>
    <row r="100" spans="1:158">
      <c r="A100" s="184">
        <f t="shared" si="127"/>
        <v>-20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>
        <f t="shared" si="123"/>
        <v>45000</v>
      </c>
      <c r="AT100" s="184" t="str">
        <f t="shared" si="128"/>
        <v/>
      </c>
      <c r="AU100" s="184" t="str">
        <f t="shared" si="129"/>
        <v/>
      </c>
      <c r="AV100" s="184" t="str">
        <f t="shared" si="130"/>
        <v/>
      </c>
      <c r="AW100" s="184" t="str">
        <f t="shared" si="131"/>
        <v/>
      </c>
      <c r="AX100" s="184" t="str">
        <f t="shared" si="132"/>
        <v/>
      </c>
      <c r="AY100" s="184" t="str">
        <f t="shared" si="133"/>
        <v/>
      </c>
      <c r="AZ100" s="184" t="str">
        <f t="shared" si="134"/>
        <v/>
      </c>
      <c r="BA100" s="184" t="str">
        <f t="shared" si="135"/>
        <v/>
      </c>
      <c r="BB100" s="184" t="str">
        <f t="shared" si="136"/>
        <v/>
      </c>
      <c r="BC100" s="184" t="str">
        <f t="shared" si="137"/>
        <v/>
      </c>
      <c r="BD100" s="184" t="str">
        <f t="shared" si="138"/>
        <v/>
      </c>
      <c r="BE100" s="184" t="str">
        <f t="shared" si="139"/>
        <v/>
      </c>
      <c r="BF100" s="184" t="str">
        <f t="shared" si="140"/>
        <v/>
      </c>
      <c r="BG100" s="184" t="str">
        <f t="shared" si="141"/>
        <v/>
      </c>
      <c r="BH100" s="184" t="str">
        <f t="shared" si="142"/>
        <v/>
      </c>
      <c r="BI100" s="184" t="str">
        <f t="shared" si="143"/>
        <v/>
      </c>
      <c r="BJ100" s="184" t="str">
        <f t="shared" si="144"/>
        <v/>
      </c>
      <c r="BK100" s="184" t="str">
        <f t="shared" si="145"/>
        <v/>
      </c>
      <c r="BL100" s="184" t="str">
        <f t="shared" si="146"/>
        <v/>
      </c>
      <c r="BM100" s="184" t="str">
        <f t="shared" si="147"/>
        <v/>
      </c>
      <c r="BN100" s="184" t="str">
        <f t="shared" si="148"/>
        <v/>
      </c>
      <c r="BO100" s="184" t="str">
        <f t="shared" si="149"/>
        <v/>
      </c>
      <c r="BP100" s="184" t="str">
        <f t="shared" si="150"/>
        <v/>
      </c>
      <c r="BQ100" s="184" t="str">
        <f t="shared" si="151"/>
        <v/>
      </c>
      <c r="BR100" s="184" t="str">
        <f t="shared" si="152"/>
        <v/>
      </c>
      <c r="BS100" s="184" t="str">
        <f t="shared" si="152"/>
        <v/>
      </c>
      <c r="BT100" s="184" t="str">
        <f t="shared" si="152"/>
        <v/>
      </c>
      <c r="BU100" s="184" t="str">
        <f t="shared" si="153"/>
        <v/>
      </c>
      <c r="BV100" s="184" t="str">
        <f t="shared" si="154"/>
        <v/>
      </c>
      <c r="BW100" s="184" t="str">
        <f t="shared" si="155"/>
        <v/>
      </c>
      <c r="BX100" s="184" t="str">
        <f t="shared" si="156"/>
        <v/>
      </c>
      <c r="BY100" s="184" t="str">
        <f t="shared" si="157"/>
        <v/>
      </c>
      <c r="BZ100" s="184" t="str">
        <f t="shared" si="158"/>
        <v/>
      </c>
      <c r="CA100" s="184" t="str">
        <f t="shared" si="159"/>
        <v/>
      </c>
      <c r="CB100" s="184" t="str">
        <f t="shared" si="160"/>
        <v/>
      </c>
      <c r="CC100" s="184" t="str">
        <f t="shared" si="161"/>
        <v/>
      </c>
      <c r="CD100" s="184" t="str">
        <f t="shared" si="162"/>
        <v/>
      </c>
      <c r="CE100" s="184" t="str">
        <f t="shared" si="163"/>
        <v/>
      </c>
      <c r="CF100" s="184" t="str">
        <f t="shared" si="164"/>
        <v/>
      </c>
      <c r="CG100" s="184" t="str">
        <f t="shared" si="165"/>
        <v/>
      </c>
      <c r="CH100" s="184" t="str">
        <f t="shared" si="166"/>
        <v/>
      </c>
      <c r="CI100" s="184" t="str">
        <f t="shared" si="167"/>
        <v/>
      </c>
      <c r="CJ100" s="184" t="str">
        <f t="shared" si="168"/>
        <v/>
      </c>
      <c r="CK100" s="184"/>
      <c r="CM100" s="184"/>
      <c r="CN100"/>
      <c r="CP100"/>
      <c r="CR100"/>
      <c r="CT100"/>
      <c r="CV100"/>
      <c r="CX100"/>
      <c r="CZ100"/>
      <c r="DB100"/>
      <c r="DD100"/>
      <c r="DF100"/>
      <c r="ED100" s="184"/>
      <c r="EF100" s="184"/>
      <c r="EH100" s="184"/>
      <c r="EJ100" s="184"/>
      <c r="EL100" s="184"/>
      <c r="EN100" s="184"/>
      <c r="EP100" s="184"/>
      <c r="ER100" s="184"/>
      <c r="ET100" s="184"/>
      <c r="EV100" s="184"/>
      <c r="EX100" s="184"/>
      <c r="EZ100" s="184"/>
      <c r="FB100" s="184"/>
    </row>
    <row r="101" spans="1:158">
      <c r="A101" s="184">
        <f t="shared" si="127"/>
        <v>-19.5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>
        <f t="shared" si="123"/>
        <v>45000</v>
      </c>
      <c r="AT101" s="184" t="str">
        <f t="shared" si="128"/>
        <v/>
      </c>
      <c r="AU101" s="184" t="str">
        <f t="shared" si="129"/>
        <v/>
      </c>
      <c r="AV101" s="184" t="str">
        <f t="shared" si="130"/>
        <v/>
      </c>
      <c r="AW101" s="184" t="str">
        <f t="shared" si="131"/>
        <v/>
      </c>
      <c r="AX101" s="184" t="str">
        <f t="shared" si="132"/>
        <v/>
      </c>
      <c r="AY101" s="184" t="str">
        <f t="shared" si="133"/>
        <v/>
      </c>
      <c r="AZ101" s="184" t="str">
        <f t="shared" si="134"/>
        <v/>
      </c>
      <c r="BA101" s="184" t="str">
        <f t="shared" si="135"/>
        <v/>
      </c>
      <c r="BB101" s="184" t="str">
        <f t="shared" si="136"/>
        <v/>
      </c>
      <c r="BC101" s="184" t="str">
        <f t="shared" si="137"/>
        <v/>
      </c>
      <c r="BD101" s="184" t="str">
        <f t="shared" si="138"/>
        <v/>
      </c>
      <c r="BE101" s="184" t="str">
        <f t="shared" si="139"/>
        <v/>
      </c>
      <c r="BF101" s="184" t="str">
        <f t="shared" si="140"/>
        <v/>
      </c>
      <c r="BG101" s="184" t="str">
        <f t="shared" si="141"/>
        <v/>
      </c>
      <c r="BH101" s="184" t="str">
        <f t="shared" si="142"/>
        <v/>
      </c>
      <c r="BI101" s="184" t="str">
        <f t="shared" si="143"/>
        <v/>
      </c>
      <c r="BJ101" s="184" t="str">
        <f t="shared" si="144"/>
        <v/>
      </c>
      <c r="BK101" s="184" t="str">
        <f t="shared" si="145"/>
        <v/>
      </c>
      <c r="BL101" s="184" t="str">
        <f t="shared" si="146"/>
        <v/>
      </c>
      <c r="BM101" s="184" t="str">
        <f t="shared" si="147"/>
        <v/>
      </c>
      <c r="BN101" s="184" t="str">
        <f t="shared" si="148"/>
        <v/>
      </c>
      <c r="BO101" s="184" t="str">
        <f t="shared" si="149"/>
        <v/>
      </c>
      <c r="BP101" s="184" t="str">
        <f t="shared" si="150"/>
        <v/>
      </c>
      <c r="BQ101" s="184" t="str">
        <f t="shared" si="151"/>
        <v/>
      </c>
      <c r="BR101" s="184" t="str">
        <f t="shared" si="152"/>
        <v/>
      </c>
      <c r="BS101" s="184" t="str">
        <f t="shared" si="152"/>
        <v/>
      </c>
      <c r="BT101" s="184" t="str">
        <f t="shared" si="152"/>
        <v/>
      </c>
      <c r="BU101" s="184" t="str">
        <f t="shared" si="153"/>
        <v/>
      </c>
      <c r="BV101" s="184" t="str">
        <f t="shared" si="154"/>
        <v/>
      </c>
      <c r="BW101" s="184" t="str">
        <f t="shared" si="155"/>
        <v/>
      </c>
      <c r="BX101" s="184" t="str">
        <f t="shared" si="156"/>
        <v/>
      </c>
      <c r="BY101" s="184" t="str">
        <f t="shared" si="157"/>
        <v/>
      </c>
      <c r="BZ101" s="184" t="str">
        <f t="shared" si="158"/>
        <v/>
      </c>
      <c r="CA101" s="184" t="str">
        <f t="shared" si="159"/>
        <v/>
      </c>
      <c r="CB101" s="184" t="str">
        <f t="shared" si="160"/>
        <v/>
      </c>
      <c r="CC101" s="184" t="str">
        <f t="shared" si="161"/>
        <v/>
      </c>
      <c r="CD101" s="184" t="str">
        <f t="shared" si="162"/>
        <v/>
      </c>
      <c r="CE101" s="184" t="str">
        <f t="shared" si="163"/>
        <v/>
      </c>
      <c r="CF101" s="184" t="str">
        <f t="shared" si="164"/>
        <v/>
      </c>
      <c r="CG101" s="184" t="str">
        <f t="shared" si="165"/>
        <v/>
      </c>
      <c r="CH101" s="184" t="str">
        <f t="shared" si="166"/>
        <v/>
      </c>
      <c r="CI101" s="184" t="str">
        <f t="shared" si="167"/>
        <v/>
      </c>
      <c r="CJ101" s="184" t="str">
        <f t="shared" si="168"/>
        <v/>
      </c>
      <c r="CK101" s="184"/>
      <c r="CM101" s="184"/>
      <c r="CN101"/>
      <c r="CP101"/>
      <c r="CR101"/>
      <c r="CT101"/>
      <c r="CV101"/>
      <c r="CX101"/>
      <c r="CZ101"/>
      <c r="DB101"/>
      <c r="DD101"/>
      <c r="DF101"/>
      <c r="ED101" s="184"/>
      <c r="EF101" s="184"/>
      <c r="EH101" s="184"/>
      <c r="EJ101" s="184"/>
      <c r="EL101" s="184"/>
      <c r="EN101" s="184"/>
      <c r="EP101" s="184"/>
      <c r="ER101" s="184"/>
      <c r="ET101" s="184"/>
      <c r="EV101" s="184"/>
      <c r="EX101" s="184"/>
      <c r="EZ101" s="184"/>
      <c r="FB101" s="184"/>
    </row>
    <row r="102" spans="1:158">
      <c r="A102" s="184">
        <f t="shared" si="127"/>
        <v>-19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>
        <f t="shared" si="123"/>
        <v>45000</v>
      </c>
      <c r="AT102" s="184" t="str">
        <f t="shared" si="128"/>
        <v/>
      </c>
      <c r="AU102" s="184" t="str">
        <f t="shared" si="129"/>
        <v/>
      </c>
      <c r="AV102" s="184" t="str">
        <f t="shared" si="130"/>
        <v/>
      </c>
      <c r="AW102" s="184" t="str">
        <f t="shared" si="131"/>
        <v/>
      </c>
      <c r="AX102" s="184" t="str">
        <f t="shared" si="132"/>
        <v/>
      </c>
      <c r="AY102" s="184" t="str">
        <f t="shared" si="133"/>
        <v/>
      </c>
      <c r="AZ102" s="184" t="str">
        <f t="shared" si="134"/>
        <v/>
      </c>
      <c r="BA102" s="184" t="str">
        <f t="shared" si="135"/>
        <v/>
      </c>
      <c r="BB102" s="184" t="str">
        <f t="shared" si="136"/>
        <v/>
      </c>
      <c r="BC102" s="184" t="str">
        <f t="shared" si="137"/>
        <v/>
      </c>
      <c r="BD102" s="184" t="str">
        <f t="shared" si="138"/>
        <v/>
      </c>
      <c r="BE102" s="184" t="str">
        <f t="shared" si="139"/>
        <v/>
      </c>
      <c r="BF102" s="184" t="str">
        <f t="shared" si="140"/>
        <v/>
      </c>
      <c r="BG102" s="184" t="str">
        <f t="shared" si="141"/>
        <v/>
      </c>
      <c r="BH102" s="184" t="str">
        <f t="shared" si="142"/>
        <v/>
      </c>
      <c r="BI102" s="184" t="str">
        <f t="shared" si="143"/>
        <v/>
      </c>
      <c r="BJ102" s="184" t="str">
        <f t="shared" si="144"/>
        <v/>
      </c>
      <c r="BK102" s="184" t="str">
        <f t="shared" si="145"/>
        <v/>
      </c>
      <c r="BL102" s="184" t="str">
        <f t="shared" si="146"/>
        <v/>
      </c>
      <c r="BM102" s="184" t="str">
        <f t="shared" si="147"/>
        <v/>
      </c>
      <c r="BN102" s="184" t="str">
        <f t="shared" si="148"/>
        <v/>
      </c>
      <c r="BO102" s="184" t="str">
        <f t="shared" si="149"/>
        <v/>
      </c>
      <c r="BP102" s="184" t="str">
        <f t="shared" si="150"/>
        <v/>
      </c>
      <c r="BQ102" s="184" t="str">
        <f t="shared" si="151"/>
        <v/>
      </c>
      <c r="BR102" s="184" t="str">
        <f t="shared" ref="BR102:BT117" si="169">IF(AND(Z102&gt;=$AS102,Z101&lt;$AS101),1,"")</f>
        <v/>
      </c>
      <c r="BS102" s="184" t="str">
        <f t="shared" si="169"/>
        <v/>
      </c>
      <c r="BT102" s="184" t="str">
        <f t="shared" si="169"/>
        <v/>
      </c>
      <c r="BU102" s="184" t="str">
        <f t="shared" si="153"/>
        <v/>
      </c>
      <c r="BV102" s="184" t="str">
        <f t="shared" si="154"/>
        <v/>
      </c>
      <c r="BW102" s="184" t="str">
        <f t="shared" si="155"/>
        <v/>
      </c>
      <c r="BX102" s="184" t="str">
        <f t="shared" si="156"/>
        <v/>
      </c>
      <c r="BY102" s="184" t="str">
        <f t="shared" si="157"/>
        <v/>
      </c>
      <c r="BZ102" s="184" t="str">
        <f t="shared" si="158"/>
        <v/>
      </c>
      <c r="CA102" s="184" t="str">
        <f t="shared" si="159"/>
        <v/>
      </c>
      <c r="CB102" s="184" t="str">
        <f t="shared" si="160"/>
        <v/>
      </c>
      <c r="CC102" s="184" t="str">
        <f t="shared" si="161"/>
        <v/>
      </c>
      <c r="CD102" s="184" t="str">
        <f t="shared" si="162"/>
        <v/>
      </c>
      <c r="CE102" s="184" t="str">
        <f t="shared" si="163"/>
        <v/>
      </c>
      <c r="CF102" s="184" t="str">
        <f t="shared" si="164"/>
        <v/>
      </c>
      <c r="CG102" s="184" t="str">
        <f t="shared" si="165"/>
        <v/>
      </c>
      <c r="CH102" s="184" t="str">
        <f t="shared" si="166"/>
        <v/>
      </c>
      <c r="CI102" s="184" t="str">
        <f t="shared" si="167"/>
        <v/>
      </c>
      <c r="CJ102" s="184" t="str">
        <f t="shared" si="168"/>
        <v/>
      </c>
      <c r="CK102" s="184"/>
      <c r="CM102" s="184"/>
      <c r="CN102"/>
      <c r="CP102"/>
      <c r="CR102"/>
      <c r="CT102"/>
      <c r="CV102"/>
      <c r="CX102"/>
      <c r="CZ102"/>
      <c r="DB102"/>
      <c r="DD102"/>
      <c r="DF102"/>
      <c r="ED102" s="184"/>
      <c r="EF102" s="184"/>
      <c r="EH102" s="184"/>
      <c r="EJ102" s="184"/>
      <c r="EL102" s="184"/>
      <c r="EN102" s="184"/>
      <c r="EP102" s="184"/>
      <c r="ER102" s="184"/>
      <c r="ET102" s="184"/>
      <c r="EV102" s="184"/>
      <c r="EX102" s="184"/>
      <c r="EZ102" s="184"/>
      <c r="FB102" s="184"/>
    </row>
    <row r="103" spans="1:158">
      <c r="A103" s="184">
        <f t="shared" si="127"/>
        <v>-18.5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>
        <f t="shared" si="123"/>
        <v>45000</v>
      </c>
      <c r="AT103" s="184" t="str">
        <f t="shared" si="128"/>
        <v/>
      </c>
      <c r="AU103" s="184" t="str">
        <f t="shared" si="129"/>
        <v/>
      </c>
      <c r="AV103" s="184" t="str">
        <f t="shared" si="130"/>
        <v/>
      </c>
      <c r="AW103" s="184" t="str">
        <f t="shared" si="131"/>
        <v/>
      </c>
      <c r="AX103" s="184" t="str">
        <f t="shared" si="132"/>
        <v/>
      </c>
      <c r="AY103" s="184" t="str">
        <f t="shared" si="133"/>
        <v/>
      </c>
      <c r="AZ103" s="184" t="str">
        <f t="shared" si="134"/>
        <v/>
      </c>
      <c r="BA103" s="184" t="str">
        <f t="shared" si="135"/>
        <v/>
      </c>
      <c r="BB103" s="184" t="str">
        <f t="shared" si="136"/>
        <v/>
      </c>
      <c r="BC103" s="184" t="str">
        <f t="shared" si="137"/>
        <v/>
      </c>
      <c r="BD103" s="184" t="str">
        <f t="shared" si="138"/>
        <v/>
      </c>
      <c r="BE103" s="184" t="str">
        <f t="shared" si="139"/>
        <v/>
      </c>
      <c r="BF103" s="184" t="str">
        <f t="shared" si="140"/>
        <v/>
      </c>
      <c r="BG103" s="184" t="str">
        <f t="shared" si="141"/>
        <v/>
      </c>
      <c r="BH103" s="184" t="str">
        <f t="shared" si="142"/>
        <v/>
      </c>
      <c r="BI103" s="184" t="str">
        <f t="shared" si="143"/>
        <v/>
      </c>
      <c r="BJ103" s="184" t="str">
        <f t="shared" si="144"/>
        <v/>
      </c>
      <c r="BK103" s="184" t="str">
        <f t="shared" si="145"/>
        <v/>
      </c>
      <c r="BL103" s="184" t="str">
        <f t="shared" si="146"/>
        <v/>
      </c>
      <c r="BM103" s="184" t="str">
        <f t="shared" si="147"/>
        <v/>
      </c>
      <c r="BN103" s="184" t="str">
        <f t="shared" si="148"/>
        <v/>
      </c>
      <c r="BO103" s="184" t="str">
        <f t="shared" si="149"/>
        <v/>
      </c>
      <c r="BP103" s="184" t="str">
        <f t="shared" si="150"/>
        <v/>
      </c>
      <c r="BQ103" s="184" t="str">
        <f t="shared" si="151"/>
        <v/>
      </c>
      <c r="BR103" s="184" t="str">
        <f t="shared" si="169"/>
        <v/>
      </c>
      <c r="BS103" s="184" t="str">
        <f t="shared" si="169"/>
        <v/>
      </c>
      <c r="BT103" s="184" t="str">
        <f t="shared" si="169"/>
        <v/>
      </c>
      <c r="BU103" s="184" t="str">
        <f t="shared" si="153"/>
        <v/>
      </c>
      <c r="BV103" s="184" t="str">
        <f t="shared" si="154"/>
        <v/>
      </c>
      <c r="BW103" s="184" t="str">
        <f t="shared" si="155"/>
        <v/>
      </c>
      <c r="BX103" s="184" t="str">
        <f t="shared" si="156"/>
        <v/>
      </c>
      <c r="BY103" s="184" t="str">
        <f t="shared" si="157"/>
        <v/>
      </c>
      <c r="BZ103" s="184" t="str">
        <f t="shared" si="158"/>
        <v/>
      </c>
      <c r="CA103" s="184" t="str">
        <f t="shared" si="159"/>
        <v/>
      </c>
      <c r="CB103" s="184" t="str">
        <f t="shared" si="160"/>
        <v/>
      </c>
      <c r="CC103" s="184" t="str">
        <f t="shared" si="161"/>
        <v/>
      </c>
      <c r="CD103" s="184" t="str">
        <f t="shared" si="162"/>
        <v/>
      </c>
      <c r="CE103" s="184" t="str">
        <f t="shared" si="163"/>
        <v/>
      </c>
      <c r="CF103" s="184" t="str">
        <f t="shared" si="164"/>
        <v/>
      </c>
      <c r="CG103" s="184" t="str">
        <f t="shared" si="165"/>
        <v/>
      </c>
      <c r="CH103" s="184" t="str">
        <f t="shared" si="166"/>
        <v/>
      </c>
      <c r="CI103" s="184" t="str">
        <f t="shared" si="167"/>
        <v/>
      </c>
      <c r="CJ103" s="184" t="str">
        <f t="shared" si="168"/>
        <v/>
      </c>
      <c r="CK103" s="184"/>
      <c r="CM103" s="184"/>
      <c r="CN103"/>
      <c r="CP103"/>
      <c r="CR103"/>
      <c r="CT103"/>
      <c r="CV103"/>
      <c r="CX103"/>
      <c r="CZ103"/>
      <c r="DB103"/>
      <c r="DD103"/>
      <c r="DF103"/>
      <c r="ED103" s="184"/>
      <c r="EF103" s="184"/>
      <c r="EH103" s="184"/>
      <c r="EJ103" s="184"/>
      <c r="EL103" s="184"/>
      <c r="EN103" s="184"/>
      <c r="EP103" s="184"/>
      <c r="ER103" s="184"/>
      <c r="ET103" s="184"/>
      <c r="EV103" s="184"/>
      <c r="EX103" s="184"/>
      <c r="EZ103" s="184"/>
      <c r="FB103" s="184"/>
    </row>
    <row r="104" spans="1:158">
      <c r="A104" s="184">
        <f t="shared" si="127"/>
        <v>-18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>
        <f t="shared" ref="X104:X148" si="170">X105-(X$151-X$150)*2.5</f>
        <v>19631.250000000004</v>
      </c>
      <c r="Y104" s="18"/>
      <c r="Z104" s="18">
        <f t="shared" ref="Z104:Z148" si="171">Z105-(Z$151-Z$150)</f>
        <v>15540</v>
      </c>
      <c r="AA104" s="18">
        <f t="shared" ref="AA104:AA149" si="172">AA105-(AA$151-AA$150)</f>
        <v>19980</v>
      </c>
      <c r="AB104" s="18">
        <f t="shared" ref="AB104:AB149" si="173">AB105-(AB$151-AB$150)</f>
        <v>21890</v>
      </c>
      <c r="AC104" s="18">
        <f t="shared" ref="AC104:AK113" si="174">AC105-AC$150*0.01</f>
        <v>5568</v>
      </c>
      <c r="AD104" s="18">
        <f t="shared" si="174"/>
        <v>6649</v>
      </c>
      <c r="AE104" s="18">
        <f t="shared" si="174"/>
        <v>8568</v>
      </c>
      <c r="AF104" s="18">
        <f t="shared" si="174"/>
        <v>12780.000000000002</v>
      </c>
      <c r="AG104" s="18">
        <f t="shared" si="174"/>
        <v>12180</v>
      </c>
      <c r="AH104" s="18">
        <f t="shared" si="174"/>
        <v>6160</v>
      </c>
      <c r="AI104" s="18">
        <f t="shared" si="174"/>
        <v>7150</v>
      </c>
      <c r="AJ104" s="18">
        <f t="shared" si="174"/>
        <v>12060</v>
      </c>
      <c r="AK104" s="18">
        <f t="shared" si="174"/>
        <v>14070</v>
      </c>
      <c r="AL104" s="18">
        <f t="shared" ref="AL104:AL149" si="175">AL105-AL$150*0.01</f>
        <v>11880</v>
      </c>
      <c r="AM104" s="18">
        <f t="shared" ref="AM104:AM149" si="176">AM105-AM$150*0.01</f>
        <v>13500</v>
      </c>
      <c r="AN104" s="18">
        <f t="shared" ref="AN104:AN149" si="177">AN105-AN$150*0.01</f>
        <v>15444</v>
      </c>
      <c r="AO104" s="18">
        <f t="shared" ref="AO104:AO149" si="178">AO105-AO$150*0.01</f>
        <v>24300</v>
      </c>
      <c r="AP104" s="18">
        <f t="shared" ref="AP104:AP149" si="179">AP105-AP$150*0.01</f>
        <v>25920</v>
      </c>
      <c r="AQ104" s="18">
        <f t="shared" ref="AQ104:AQ149" si="180">AQ105-AQ$150*0.01</f>
        <v>29160</v>
      </c>
      <c r="AR104" s="18">
        <f t="shared" ref="AR104:AR149" si="181">AR105-AR$150*0.01</f>
        <v>79488</v>
      </c>
      <c r="AS104" s="18">
        <f t="shared" si="123"/>
        <v>45000</v>
      </c>
      <c r="AT104" s="184" t="str">
        <f t="shared" si="128"/>
        <v/>
      </c>
      <c r="AU104" s="184" t="str">
        <f t="shared" si="129"/>
        <v/>
      </c>
      <c r="AV104" s="184" t="str">
        <f t="shared" si="130"/>
        <v/>
      </c>
      <c r="AW104" s="184" t="str">
        <f t="shared" si="131"/>
        <v/>
      </c>
      <c r="AX104" s="184" t="str">
        <f t="shared" si="132"/>
        <v/>
      </c>
      <c r="AY104" s="184" t="str">
        <f t="shared" si="133"/>
        <v/>
      </c>
      <c r="AZ104" s="184" t="str">
        <f t="shared" si="134"/>
        <v/>
      </c>
      <c r="BA104" s="184" t="str">
        <f t="shared" si="135"/>
        <v/>
      </c>
      <c r="BB104" s="184" t="str">
        <f t="shared" si="136"/>
        <v/>
      </c>
      <c r="BC104" s="184" t="str">
        <f t="shared" si="137"/>
        <v/>
      </c>
      <c r="BD104" s="184" t="str">
        <f t="shared" si="138"/>
        <v/>
      </c>
      <c r="BE104" s="184" t="str">
        <f t="shared" si="139"/>
        <v/>
      </c>
      <c r="BF104" s="184" t="str">
        <f t="shared" si="140"/>
        <v/>
      </c>
      <c r="BG104" s="184" t="str">
        <f t="shared" si="141"/>
        <v/>
      </c>
      <c r="BH104" s="184" t="str">
        <f t="shared" si="142"/>
        <v/>
      </c>
      <c r="BI104" s="184" t="str">
        <f t="shared" si="143"/>
        <v/>
      </c>
      <c r="BJ104" s="184" t="str">
        <f t="shared" si="144"/>
        <v/>
      </c>
      <c r="BK104" s="184" t="str">
        <f t="shared" si="145"/>
        <v/>
      </c>
      <c r="BL104" s="184" t="str">
        <f t="shared" si="146"/>
        <v/>
      </c>
      <c r="BM104" s="184" t="str">
        <f t="shared" si="147"/>
        <v/>
      </c>
      <c r="BN104" s="184" t="str">
        <f t="shared" si="148"/>
        <v/>
      </c>
      <c r="BO104" s="184" t="str">
        <f t="shared" si="149"/>
        <v/>
      </c>
      <c r="BP104" s="184" t="str">
        <f t="shared" si="150"/>
        <v/>
      </c>
      <c r="BQ104" s="184" t="str">
        <f t="shared" si="151"/>
        <v/>
      </c>
      <c r="BR104" s="184" t="str">
        <f t="shared" si="169"/>
        <v/>
      </c>
      <c r="BS104" s="184" t="str">
        <f t="shared" si="169"/>
        <v/>
      </c>
      <c r="BT104" s="184" t="str">
        <f t="shared" si="169"/>
        <v/>
      </c>
      <c r="BU104" s="184" t="str">
        <f t="shared" si="153"/>
        <v/>
      </c>
      <c r="BV104" s="184" t="str">
        <f t="shared" si="154"/>
        <v/>
      </c>
      <c r="BW104" s="184" t="str">
        <f t="shared" si="155"/>
        <v/>
      </c>
      <c r="BX104" s="184" t="str">
        <f t="shared" si="156"/>
        <v/>
      </c>
      <c r="BY104" s="184" t="str">
        <f t="shared" si="157"/>
        <v/>
      </c>
      <c r="BZ104" s="184" t="str">
        <f t="shared" si="158"/>
        <v/>
      </c>
      <c r="CA104" s="184" t="str">
        <f t="shared" si="159"/>
        <v/>
      </c>
      <c r="CB104" s="184" t="str">
        <f t="shared" si="160"/>
        <v/>
      </c>
      <c r="CC104" s="184" t="str">
        <f t="shared" si="161"/>
        <v/>
      </c>
      <c r="CD104" s="184" t="str">
        <f t="shared" si="162"/>
        <v/>
      </c>
      <c r="CE104" s="184" t="str">
        <f t="shared" si="163"/>
        <v/>
      </c>
      <c r="CF104" s="184" t="str">
        <f t="shared" si="164"/>
        <v/>
      </c>
      <c r="CG104" s="184" t="str">
        <f t="shared" si="165"/>
        <v/>
      </c>
      <c r="CH104" s="184" t="str">
        <f t="shared" si="166"/>
        <v/>
      </c>
      <c r="CI104" s="184" t="str">
        <f t="shared" si="167"/>
        <v/>
      </c>
      <c r="CJ104" s="184">
        <f t="shared" si="168"/>
        <v>1</v>
      </c>
      <c r="CK104" s="184"/>
      <c r="CM104" s="184"/>
      <c r="CN104"/>
      <c r="CP104"/>
      <c r="CR104"/>
      <c r="CT104"/>
      <c r="CV104"/>
      <c r="CX104"/>
      <c r="CZ104"/>
      <c r="DB104"/>
      <c r="DD104"/>
      <c r="DF104"/>
      <c r="ED104" s="184"/>
      <c r="EF104" s="184"/>
      <c r="EH104" s="184"/>
      <c r="EJ104" s="184"/>
      <c r="EL104" s="184"/>
      <c r="EN104" s="184"/>
      <c r="EP104" s="184"/>
      <c r="ER104" s="184"/>
      <c r="ET104" s="184"/>
      <c r="EV104" s="184"/>
      <c r="EX104" s="184"/>
      <c r="EZ104" s="184"/>
      <c r="FB104" s="184"/>
    </row>
    <row r="105" spans="1:158">
      <c r="A105" s="184">
        <f t="shared" si="127"/>
        <v>-17.5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>
        <f t="shared" si="170"/>
        <v>19861.875000000004</v>
      </c>
      <c r="Y105" s="18"/>
      <c r="Z105" s="18">
        <f t="shared" si="171"/>
        <v>15750</v>
      </c>
      <c r="AA105" s="18">
        <f t="shared" si="172"/>
        <v>20250</v>
      </c>
      <c r="AB105" s="18">
        <f t="shared" si="173"/>
        <v>22275</v>
      </c>
      <c r="AC105" s="18">
        <f t="shared" si="174"/>
        <v>5655</v>
      </c>
      <c r="AD105" s="18">
        <f t="shared" si="174"/>
        <v>6758</v>
      </c>
      <c r="AE105" s="18">
        <f t="shared" si="174"/>
        <v>8704</v>
      </c>
      <c r="AF105" s="18">
        <f t="shared" si="174"/>
        <v>12960.000000000002</v>
      </c>
      <c r="AG105" s="18">
        <f t="shared" si="174"/>
        <v>12383</v>
      </c>
      <c r="AH105" s="18">
        <f t="shared" si="174"/>
        <v>6270</v>
      </c>
      <c r="AI105" s="18">
        <f t="shared" si="174"/>
        <v>7280</v>
      </c>
      <c r="AJ105" s="18">
        <f t="shared" si="174"/>
        <v>12240</v>
      </c>
      <c r="AK105" s="18">
        <f t="shared" si="174"/>
        <v>14280</v>
      </c>
      <c r="AL105" s="18">
        <f t="shared" si="175"/>
        <v>12100</v>
      </c>
      <c r="AM105" s="18">
        <f t="shared" si="176"/>
        <v>13750</v>
      </c>
      <c r="AN105" s="18">
        <f t="shared" si="177"/>
        <v>15730</v>
      </c>
      <c r="AO105" s="18">
        <f t="shared" si="178"/>
        <v>24750</v>
      </c>
      <c r="AP105" s="18">
        <f t="shared" si="179"/>
        <v>26400</v>
      </c>
      <c r="AQ105" s="18">
        <f t="shared" si="180"/>
        <v>29700</v>
      </c>
      <c r="AR105" s="18">
        <f t="shared" si="181"/>
        <v>80960</v>
      </c>
      <c r="AS105" s="18">
        <f t="shared" si="123"/>
        <v>45000</v>
      </c>
      <c r="AT105" s="184" t="str">
        <f t="shared" si="128"/>
        <v/>
      </c>
      <c r="AU105" s="184" t="str">
        <f t="shared" si="129"/>
        <v/>
      </c>
      <c r="AV105" s="184" t="str">
        <f t="shared" si="130"/>
        <v/>
      </c>
      <c r="AW105" s="184" t="str">
        <f t="shared" si="131"/>
        <v/>
      </c>
      <c r="AX105" s="184" t="str">
        <f t="shared" si="132"/>
        <v/>
      </c>
      <c r="AY105" s="184" t="str">
        <f t="shared" si="133"/>
        <v/>
      </c>
      <c r="AZ105" s="184" t="str">
        <f t="shared" si="134"/>
        <v/>
      </c>
      <c r="BA105" s="184" t="str">
        <f t="shared" si="135"/>
        <v/>
      </c>
      <c r="BB105" s="184" t="str">
        <f t="shared" si="136"/>
        <v/>
      </c>
      <c r="BC105" s="184" t="str">
        <f t="shared" si="137"/>
        <v/>
      </c>
      <c r="BD105" s="184" t="str">
        <f t="shared" si="138"/>
        <v/>
      </c>
      <c r="BE105" s="184" t="str">
        <f t="shared" si="139"/>
        <v/>
      </c>
      <c r="BF105" s="184" t="str">
        <f t="shared" si="140"/>
        <v/>
      </c>
      <c r="BG105" s="184" t="str">
        <f t="shared" si="141"/>
        <v/>
      </c>
      <c r="BH105" s="184" t="str">
        <f t="shared" si="142"/>
        <v/>
      </c>
      <c r="BI105" s="184" t="str">
        <f t="shared" si="143"/>
        <v/>
      </c>
      <c r="BJ105" s="184" t="str">
        <f t="shared" si="144"/>
        <v/>
      </c>
      <c r="BK105" s="184" t="str">
        <f t="shared" si="145"/>
        <v/>
      </c>
      <c r="BL105" s="184" t="str">
        <f t="shared" si="146"/>
        <v/>
      </c>
      <c r="BM105" s="184" t="str">
        <f t="shared" si="147"/>
        <v/>
      </c>
      <c r="BN105" s="184" t="str">
        <f t="shared" si="148"/>
        <v/>
      </c>
      <c r="BO105" s="184" t="str">
        <f t="shared" si="149"/>
        <v/>
      </c>
      <c r="BP105" s="184" t="str">
        <f t="shared" si="150"/>
        <v/>
      </c>
      <c r="BQ105" s="184" t="str">
        <f t="shared" si="151"/>
        <v/>
      </c>
      <c r="BR105" s="184" t="str">
        <f t="shared" si="169"/>
        <v/>
      </c>
      <c r="BS105" s="184" t="str">
        <f t="shared" si="169"/>
        <v/>
      </c>
      <c r="BT105" s="184" t="str">
        <f t="shared" si="169"/>
        <v/>
      </c>
      <c r="BU105" s="184" t="str">
        <f t="shared" si="153"/>
        <v/>
      </c>
      <c r="BV105" s="184" t="str">
        <f t="shared" si="154"/>
        <v/>
      </c>
      <c r="BW105" s="184" t="str">
        <f t="shared" si="155"/>
        <v/>
      </c>
      <c r="BX105" s="184" t="str">
        <f t="shared" si="156"/>
        <v/>
      </c>
      <c r="BY105" s="184" t="str">
        <f t="shared" si="157"/>
        <v/>
      </c>
      <c r="BZ105" s="184" t="str">
        <f t="shared" si="158"/>
        <v/>
      </c>
      <c r="CA105" s="184" t="str">
        <f t="shared" si="159"/>
        <v/>
      </c>
      <c r="CB105" s="184" t="str">
        <f t="shared" si="160"/>
        <v/>
      </c>
      <c r="CC105" s="184" t="str">
        <f t="shared" si="161"/>
        <v/>
      </c>
      <c r="CD105" s="184" t="str">
        <f t="shared" si="162"/>
        <v/>
      </c>
      <c r="CE105" s="184" t="str">
        <f t="shared" si="163"/>
        <v/>
      </c>
      <c r="CF105" s="184" t="str">
        <f t="shared" si="164"/>
        <v/>
      </c>
      <c r="CG105" s="184" t="str">
        <f t="shared" si="165"/>
        <v/>
      </c>
      <c r="CH105" s="184" t="str">
        <f t="shared" si="166"/>
        <v/>
      </c>
      <c r="CI105" s="184" t="str">
        <f t="shared" si="167"/>
        <v/>
      </c>
      <c r="CJ105" s="184" t="str">
        <f t="shared" si="168"/>
        <v/>
      </c>
      <c r="CK105" s="184"/>
      <c r="CM105" s="184"/>
      <c r="CN105"/>
      <c r="CP105"/>
      <c r="CR105"/>
      <c r="CT105"/>
      <c r="CV105"/>
      <c r="CX105"/>
      <c r="CZ105"/>
      <c r="DB105"/>
      <c r="DD105"/>
      <c r="DF105"/>
      <c r="ED105" s="184"/>
      <c r="EF105" s="184"/>
      <c r="EH105" s="184"/>
      <c r="EJ105" s="184"/>
      <c r="EL105" s="184"/>
      <c r="EN105" s="184"/>
      <c r="EP105" s="184"/>
      <c r="ER105" s="184"/>
      <c r="ET105" s="184"/>
      <c r="EV105" s="184"/>
      <c r="EX105" s="184"/>
      <c r="EZ105" s="184"/>
      <c r="FB105" s="184"/>
    </row>
    <row r="106" spans="1:158">
      <c r="A106" s="184">
        <f t="shared" si="127"/>
        <v>-17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>
        <f t="shared" si="170"/>
        <v>20092.500000000004</v>
      </c>
      <c r="Y106" s="18"/>
      <c r="Z106" s="18">
        <f t="shared" si="171"/>
        <v>15960</v>
      </c>
      <c r="AA106" s="18">
        <f t="shared" si="172"/>
        <v>20520</v>
      </c>
      <c r="AB106" s="18">
        <f t="shared" si="173"/>
        <v>22660</v>
      </c>
      <c r="AC106" s="18">
        <f t="shared" si="174"/>
        <v>5742</v>
      </c>
      <c r="AD106" s="18">
        <f t="shared" si="174"/>
        <v>6867</v>
      </c>
      <c r="AE106" s="18">
        <f t="shared" si="174"/>
        <v>8840</v>
      </c>
      <c r="AF106" s="18">
        <f t="shared" si="174"/>
        <v>13140.000000000002</v>
      </c>
      <c r="AG106" s="18">
        <f t="shared" si="174"/>
        <v>12586</v>
      </c>
      <c r="AH106" s="18">
        <f t="shared" si="174"/>
        <v>6380</v>
      </c>
      <c r="AI106" s="18">
        <f t="shared" si="174"/>
        <v>7410</v>
      </c>
      <c r="AJ106" s="18">
        <f t="shared" si="174"/>
        <v>12420</v>
      </c>
      <c r="AK106" s="18">
        <f t="shared" si="174"/>
        <v>14490</v>
      </c>
      <c r="AL106" s="18">
        <f t="shared" si="175"/>
        <v>12320</v>
      </c>
      <c r="AM106" s="18">
        <f t="shared" si="176"/>
        <v>14000</v>
      </c>
      <c r="AN106" s="18">
        <f t="shared" si="177"/>
        <v>16016</v>
      </c>
      <c r="AO106" s="18">
        <f t="shared" si="178"/>
        <v>25200</v>
      </c>
      <c r="AP106" s="18">
        <f t="shared" si="179"/>
        <v>26880</v>
      </c>
      <c r="AQ106" s="18">
        <f t="shared" si="180"/>
        <v>30240</v>
      </c>
      <c r="AR106" s="18">
        <f t="shared" si="181"/>
        <v>82432</v>
      </c>
      <c r="AS106" s="18">
        <f t="shared" si="123"/>
        <v>45000</v>
      </c>
      <c r="AT106" s="184" t="str">
        <f t="shared" si="128"/>
        <v/>
      </c>
      <c r="AU106" s="184" t="str">
        <f t="shared" si="129"/>
        <v/>
      </c>
      <c r="AV106" s="184" t="str">
        <f t="shared" si="130"/>
        <v/>
      </c>
      <c r="AW106" s="184" t="str">
        <f t="shared" si="131"/>
        <v/>
      </c>
      <c r="AX106" s="184" t="str">
        <f t="shared" si="132"/>
        <v/>
      </c>
      <c r="AY106" s="184" t="str">
        <f t="shared" si="133"/>
        <v/>
      </c>
      <c r="AZ106" s="184" t="str">
        <f t="shared" si="134"/>
        <v/>
      </c>
      <c r="BA106" s="184" t="str">
        <f t="shared" si="135"/>
        <v/>
      </c>
      <c r="BB106" s="184" t="str">
        <f t="shared" si="136"/>
        <v/>
      </c>
      <c r="BC106" s="184" t="str">
        <f t="shared" si="137"/>
        <v/>
      </c>
      <c r="BD106" s="184" t="str">
        <f t="shared" si="138"/>
        <v/>
      </c>
      <c r="BE106" s="184" t="str">
        <f t="shared" si="139"/>
        <v/>
      </c>
      <c r="BF106" s="184" t="str">
        <f t="shared" si="140"/>
        <v/>
      </c>
      <c r="BG106" s="184" t="str">
        <f t="shared" si="141"/>
        <v/>
      </c>
      <c r="BH106" s="184" t="str">
        <f t="shared" si="142"/>
        <v/>
      </c>
      <c r="BI106" s="184" t="str">
        <f t="shared" si="143"/>
        <v/>
      </c>
      <c r="BJ106" s="184" t="str">
        <f t="shared" si="144"/>
        <v/>
      </c>
      <c r="BK106" s="184" t="str">
        <f t="shared" si="145"/>
        <v/>
      </c>
      <c r="BL106" s="184" t="str">
        <f t="shared" si="146"/>
        <v/>
      </c>
      <c r="BM106" s="184" t="str">
        <f t="shared" si="147"/>
        <v/>
      </c>
      <c r="BN106" s="184" t="str">
        <f t="shared" si="148"/>
        <v/>
      </c>
      <c r="BO106" s="184" t="str">
        <f t="shared" si="149"/>
        <v/>
      </c>
      <c r="BP106" s="184" t="str">
        <f t="shared" si="150"/>
        <v/>
      </c>
      <c r="BQ106" s="184" t="str">
        <f t="shared" si="151"/>
        <v/>
      </c>
      <c r="BR106" s="184" t="str">
        <f t="shared" si="169"/>
        <v/>
      </c>
      <c r="BS106" s="184" t="str">
        <f t="shared" si="169"/>
        <v/>
      </c>
      <c r="BT106" s="184" t="str">
        <f t="shared" si="169"/>
        <v/>
      </c>
      <c r="BU106" s="184" t="str">
        <f t="shared" si="153"/>
        <v/>
      </c>
      <c r="BV106" s="184" t="str">
        <f t="shared" si="154"/>
        <v/>
      </c>
      <c r="BW106" s="184" t="str">
        <f t="shared" si="155"/>
        <v/>
      </c>
      <c r="BX106" s="184" t="str">
        <f t="shared" si="156"/>
        <v/>
      </c>
      <c r="BY106" s="184" t="str">
        <f t="shared" si="157"/>
        <v/>
      </c>
      <c r="BZ106" s="184" t="str">
        <f t="shared" si="158"/>
        <v/>
      </c>
      <c r="CA106" s="184" t="str">
        <f t="shared" si="159"/>
        <v/>
      </c>
      <c r="CB106" s="184" t="str">
        <f t="shared" si="160"/>
        <v/>
      </c>
      <c r="CC106" s="184" t="str">
        <f t="shared" si="161"/>
        <v/>
      </c>
      <c r="CD106" s="184" t="str">
        <f t="shared" si="162"/>
        <v/>
      </c>
      <c r="CE106" s="184" t="str">
        <f t="shared" si="163"/>
        <v/>
      </c>
      <c r="CF106" s="184" t="str">
        <f t="shared" si="164"/>
        <v/>
      </c>
      <c r="CG106" s="184" t="str">
        <f t="shared" si="165"/>
        <v/>
      </c>
      <c r="CH106" s="184" t="str">
        <f t="shared" si="166"/>
        <v/>
      </c>
      <c r="CI106" s="184" t="str">
        <f t="shared" si="167"/>
        <v/>
      </c>
      <c r="CJ106" s="184" t="str">
        <f t="shared" si="168"/>
        <v/>
      </c>
      <c r="CK106" s="184"/>
      <c r="CM106" s="184"/>
      <c r="CN106"/>
      <c r="CP106"/>
      <c r="CR106"/>
      <c r="CT106"/>
      <c r="CV106"/>
      <c r="CX106"/>
      <c r="CZ106"/>
      <c r="DB106"/>
      <c r="DD106"/>
      <c r="DF106"/>
      <c r="ED106" s="184"/>
      <c r="EF106" s="184"/>
      <c r="EH106" s="184"/>
      <c r="EJ106" s="184"/>
      <c r="EL106" s="184"/>
      <c r="EN106" s="184"/>
      <c r="EP106" s="184"/>
      <c r="ER106" s="184"/>
      <c r="ET106" s="184"/>
      <c r="EV106" s="184"/>
      <c r="EX106" s="184"/>
      <c r="EZ106" s="184"/>
      <c r="FB106" s="184"/>
    </row>
    <row r="107" spans="1:158">
      <c r="A107" s="184">
        <f t="shared" si="127"/>
        <v>-16.5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>
        <f t="shared" si="170"/>
        <v>20323.125000000004</v>
      </c>
      <c r="Y107" s="18"/>
      <c r="Z107" s="18">
        <f t="shared" si="171"/>
        <v>16170</v>
      </c>
      <c r="AA107" s="18">
        <f t="shared" si="172"/>
        <v>20790</v>
      </c>
      <c r="AB107" s="18">
        <f t="shared" si="173"/>
        <v>23045</v>
      </c>
      <c r="AC107" s="18">
        <f t="shared" si="174"/>
        <v>5829</v>
      </c>
      <c r="AD107" s="18">
        <f t="shared" si="174"/>
        <v>6976</v>
      </c>
      <c r="AE107" s="18">
        <f t="shared" si="174"/>
        <v>8976</v>
      </c>
      <c r="AF107" s="18">
        <f t="shared" si="174"/>
        <v>13320.000000000002</v>
      </c>
      <c r="AG107" s="18">
        <f t="shared" si="174"/>
        <v>12789</v>
      </c>
      <c r="AH107" s="18">
        <f t="shared" si="174"/>
        <v>6490</v>
      </c>
      <c r="AI107" s="18">
        <f t="shared" si="174"/>
        <v>7540</v>
      </c>
      <c r="AJ107" s="18">
        <f t="shared" si="174"/>
        <v>12600</v>
      </c>
      <c r="AK107" s="18">
        <f t="shared" si="174"/>
        <v>14700</v>
      </c>
      <c r="AL107" s="18">
        <f t="shared" si="175"/>
        <v>12540</v>
      </c>
      <c r="AM107" s="18">
        <f t="shared" si="176"/>
        <v>14250</v>
      </c>
      <c r="AN107" s="18">
        <f t="shared" si="177"/>
        <v>16302</v>
      </c>
      <c r="AO107" s="18">
        <f t="shared" si="178"/>
        <v>25650</v>
      </c>
      <c r="AP107" s="18">
        <f t="shared" si="179"/>
        <v>27360</v>
      </c>
      <c r="AQ107" s="18">
        <f t="shared" si="180"/>
        <v>30780</v>
      </c>
      <c r="AR107" s="18">
        <f t="shared" si="181"/>
        <v>83904</v>
      </c>
      <c r="AS107" s="18">
        <f t="shared" si="123"/>
        <v>45000</v>
      </c>
      <c r="AT107" s="184" t="str">
        <f t="shared" si="128"/>
        <v/>
      </c>
      <c r="AU107" s="184" t="str">
        <f t="shared" si="129"/>
        <v/>
      </c>
      <c r="AV107" s="184" t="str">
        <f t="shared" si="130"/>
        <v/>
      </c>
      <c r="AW107" s="184" t="str">
        <f t="shared" si="131"/>
        <v/>
      </c>
      <c r="AX107" s="184" t="str">
        <f t="shared" si="132"/>
        <v/>
      </c>
      <c r="AY107" s="184" t="str">
        <f t="shared" si="133"/>
        <v/>
      </c>
      <c r="AZ107" s="184" t="str">
        <f t="shared" si="134"/>
        <v/>
      </c>
      <c r="BA107" s="184" t="str">
        <f t="shared" si="135"/>
        <v/>
      </c>
      <c r="BB107" s="184" t="str">
        <f t="shared" si="136"/>
        <v/>
      </c>
      <c r="BC107" s="184" t="str">
        <f t="shared" si="137"/>
        <v/>
      </c>
      <c r="BD107" s="184" t="str">
        <f t="shared" si="138"/>
        <v/>
      </c>
      <c r="BE107" s="184" t="str">
        <f t="shared" si="139"/>
        <v/>
      </c>
      <c r="BF107" s="184" t="str">
        <f t="shared" si="140"/>
        <v/>
      </c>
      <c r="BG107" s="184" t="str">
        <f t="shared" si="141"/>
        <v/>
      </c>
      <c r="BH107" s="184" t="str">
        <f t="shared" si="142"/>
        <v/>
      </c>
      <c r="BI107" s="184" t="str">
        <f t="shared" si="143"/>
        <v/>
      </c>
      <c r="BJ107" s="184" t="str">
        <f t="shared" si="144"/>
        <v/>
      </c>
      <c r="BK107" s="184" t="str">
        <f t="shared" si="145"/>
        <v/>
      </c>
      <c r="BL107" s="184" t="str">
        <f t="shared" si="146"/>
        <v/>
      </c>
      <c r="BM107" s="184" t="str">
        <f t="shared" si="147"/>
        <v/>
      </c>
      <c r="BN107" s="184" t="str">
        <f t="shared" si="148"/>
        <v/>
      </c>
      <c r="BO107" s="184" t="str">
        <f t="shared" si="149"/>
        <v/>
      </c>
      <c r="BP107" s="184" t="str">
        <f t="shared" si="150"/>
        <v/>
      </c>
      <c r="BQ107" s="184" t="str">
        <f t="shared" si="151"/>
        <v/>
      </c>
      <c r="BR107" s="184" t="str">
        <f t="shared" si="169"/>
        <v/>
      </c>
      <c r="BS107" s="184" t="str">
        <f t="shared" si="169"/>
        <v/>
      </c>
      <c r="BT107" s="184" t="str">
        <f t="shared" si="169"/>
        <v/>
      </c>
      <c r="BU107" s="184" t="str">
        <f t="shared" si="153"/>
        <v/>
      </c>
      <c r="BV107" s="184" t="str">
        <f t="shared" si="154"/>
        <v/>
      </c>
      <c r="BW107" s="184" t="str">
        <f t="shared" si="155"/>
        <v/>
      </c>
      <c r="BX107" s="184" t="str">
        <f t="shared" si="156"/>
        <v/>
      </c>
      <c r="BY107" s="184" t="str">
        <f t="shared" si="157"/>
        <v/>
      </c>
      <c r="BZ107" s="184" t="str">
        <f t="shared" si="158"/>
        <v/>
      </c>
      <c r="CA107" s="184" t="str">
        <f t="shared" si="159"/>
        <v/>
      </c>
      <c r="CB107" s="184" t="str">
        <f t="shared" si="160"/>
        <v/>
      </c>
      <c r="CC107" s="184" t="str">
        <f t="shared" si="161"/>
        <v/>
      </c>
      <c r="CD107" s="184" t="str">
        <f t="shared" si="162"/>
        <v/>
      </c>
      <c r="CE107" s="184" t="str">
        <f t="shared" si="163"/>
        <v/>
      </c>
      <c r="CF107" s="184" t="str">
        <f t="shared" si="164"/>
        <v/>
      </c>
      <c r="CG107" s="184" t="str">
        <f t="shared" si="165"/>
        <v/>
      </c>
      <c r="CH107" s="184" t="str">
        <f t="shared" si="166"/>
        <v/>
      </c>
      <c r="CI107" s="184" t="str">
        <f t="shared" si="167"/>
        <v/>
      </c>
      <c r="CJ107" s="184" t="str">
        <f t="shared" si="168"/>
        <v/>
      </c>
      <c r="CK107" s="184"/>
      <c r="CM107" s="184"/>
      <c r="CN107"/>
      <c r="CP107"/>
      <c r="CR107"/>
      <c r="CT107"/>
      <c r="CV107"/>
      <c r="CX107"/>
      <c r="CZ107"/>
      <c r="DB107"/>
      <c r="DD107"/>
      <c r="DF107"/>
      <c r="ED107" s="184"/>
      <c r="EF107" s="184"/>
      <c r="EH107" s="184"/>
      <c r="EJ107" s="184"/>
      <c r="EL107" s="184"/>
      <c r="EN107" s="184"/>
      <c r="EP107" s="184"/>
      <c r="ER107" s="184"/>
      <c r="ET107" s="184"/>
      <c r="EV107" s="184"/>
      <c r="EX107" s="184"/>
      <c r="EZ107" s="184"/>
      <c r="FB107" s="184"/>
    </row>
    <row r="108" spans="1:158">
      <c r="A108" s="184">
        <f t="shared" si="127"/>
        <v>-16</v>
      </c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>
        <f t="shared" si="170"/>
        <v>20553.750000000004</v>
      </c>
      <c r="Y108" s="18"/>
      <c r="Z108" s="18">
        <f t="shared" si="171"/>
        <v>16380</v>
      </c>
      <c r="AA108" s="18">
        <f t="shared" si="172"/>
        <v>21060</v>
      </c>
      <c r="AB108" s="18">
        <f t="shared" si="173"/>
        <v>23430</v>
      </c>
      <c r="AC108" s="18">
        <f t="shared" si="174"/>
        <v>5916</v>
      </c>
      <c r="AD108" s="18">
        <f t="shared" si="174"/>
        <v>7085</v>
      </c>
      <c r="AE108" s="18">
        <f t="shared" si="174"/>
        <v>9112</v>
      </c>
      <c r="AF108" s="18">
        <f t="shared" si="174"/>
        <v>13500.000000000002</v>
      </c>
      <c r="AG108" s="18">
        <f t="shared" si="174"/>
        <v>12992</v>
      </c>
      <c r="AH108" s="18">
        <f t="shared" si="174"/>
        <v>6600</v>
      </c>
      <c r="AI108" s="18">
        <f t="shared" si="174"/>
        <v>7670</v>
      </c>
      <c r="AJ108" s="18">
        <f t="shared" si="174"/>
        <v>12780</v>
      </c>
      <c r="AK108" s="18">
        <f t="shared" si="174"/>
        <v>14910</v>
      </c>
      <c r="AL108" s="18">
        <f t="shared" si="175"/>
        <v>12760</v>
      </c>
      <c r="AM108" s="18">
        <f t="shared" si="176"/>
        <v>14500</v>
      </c>
      <c r="AN108" s="18">
        <f t="shared" si="177"/>
        <v>16588</v>
      </c>
      <c r="AO108" s="18">
        <f t="shared" si="178"/>
        <v>26100</v>
      </c>
      <c r="AP108" s="18">
        <f t="shared" si="179"/>
        <v>27840</v>
      </c>
      <c r="AQ108" s="18">
        <f t="shared" si="180"/>
        <v>31320</v>
      </c>
      <c r="AR108" s="18">
        <f t="shared" si="181"/>
        <v>85376</v>
      </c>
      <c r="AS108" s="18">
        <f t="shared" si="123"/>
        <v>45000</v>
      </c>
      <c r="AT108" s="184" t="str">
        <f t="shared" si="128"/>
        <v/>
      </c>
      <c r="AU108" s="184" t="str">
        <f t="shared" si="129"/>
        <v/>
      </c>
      <c r="AV108" s="184" t="str">
        <f t="shared" si="130"/>
        <v/>
      </c>
      <c r="AW108" s="184" t="str">
        <f t="shared" si="131"/>
        <v/>
      </c>
      <c r="AX108" s="184" t="str">
        <f t="shared" si="132"/>
        <v/>
      </c>
      <c r="AY108" s="184" t="str">
        <f t="shared" si="133"/>
        <v/>
      </c>
      <c r="AZ108" s="184" t="str">
        <f t="shared" si="134"/>
        <v/>
      </c>
      <c r="BA108" s="184" t="str">
        <f t="shared" si="135"/>
        <v/>
      </c>
      <c r="BB108" s="184" t="str">
        <f t="shared" si="136"/>
        <v/>
      </c>
      <c r="BC108" s="184" t="str">
        <f t="shared" si="137"/>
        <v/>
      </c>
      <c r="BD108" s="184" t="str">
        <f t="shared" si="138"/>
        <v/>
      </c>
      <c r="BE108" s="184" t="str">
        <f t="shared" si="139"/>
        <v/>
      </c>
      <c r="BF108" s="184" t="str">
        <f t="shared" si="140"/>
        <v/>
      </c>
      <c r="BG108" s="184" t="str">
        <f t="shared" si="141"/>
        <v/>
      </c>
      <c r="BH108" s="184" t="str">
        <f t="shared" si="142"/>
        <v/>
      </c>
      <c r="BI108" s="184" t="str">
        <f t="shared" si="143"/>
        <v/>
      </c>
      <c r="BJ108" s="184" t="str">
        <f t="shared" si="144"/>
        <v/>
      </c>
      <c r="BK108" s="184" t="str">
        <f t="shared" si="145"/>
        <v/>
      </c>
      <c r="BL108" s="184" t="str">
        <f t="shared" si="146"/>
        <v/>
      </c>
      <c r="BM108" s="184" t="str">
        <f t="shared" si="147"/>
        <v/>
      </c>
      <c r="BN108" s="184" t="str">
        <f t="shared" si="148"/>
        <v/>
      </c>
      <c r="BO108" s="184" t="str">
        <f t="shared" si="149"/>
        <v/>
      </c>
      <c r="BP108" s="184" t="str">
        <f t="shared" si="150"/>
        <v/>
      </c>
      <c r="BQ108" s="184" t="str">
        <f t="shared" si="151"/>
        <v/>
      </c>
      <c r="BR108" s="184" t="str">
        <f t="shared" si="169"/>
        <v/>
      </c>
      <c r="BS108" s="184" t="str">
        <f t="shared" si="169"/>
        <v/>
      </c>
      <c r="BT108" s="184" t="str">
        <f t="shared" si="169"/>
        <v/>
      </c>
      <c r="BU108" s="184" t="str">
        <f t="shared" si="153"/>
        <v/>
      </c>
      <c r="BV108" s="184" t="str">
        <f t="shared" si="154"/>
        <v/>
      </c>
      <c r="BW108" s="184" t="str">
        <f t="shared" si="155"/>
        <v/>
      </c>
      <c r="BX108" s="184" t="str">
        <f t="shared" si="156"/>
        <v/>
      </c>
      <c r="BY108" s="184" t="str">
        <f t="shared" si="157"/>
        <v/>
      </c>
      <c r="BZ108" s="184" t="str">
        <f t="shared" si="158"/>
        <v/>
      </c>
      <c r="CA108" s="184" t="str">
        <f t="shared" si="159"/>
        <v/>
      </c>
      <c r="CB108" s="184" t="str">
        <f t="shared" si="160"/>
        <v/>
      </c>
      <c r="CC108" s="184" t="str">
        <f t="shared" si="161"/>
        <v/>
      </c>
      <c r="CD108" s="184" t="str">
        <f t="shared" si="162"/>
        <v/>
      </c>
      <c r="CE108" s="184" t="str">
        <f t="shared" si="163"/>
        <v/>
      </c>
      <c r="CF108" s="184" t="str">
        <f t="shared" si="164"/>
        <v/>
      </c>
      <c r="CG108" s="184" t="str">
        <f t="shared" si="165"/>
        <v/>
      </c>
      <c r="CH108" s="184" t="str">
        <f t="shared" si="166"/>
        <v/>
      </c>
      <c r="CI108" s="184" t="str">
        <f t="shared" si="167"/>
        <v/>
      </c>
      <c r="CJ108" s="184" t="str">
        <f t="shared" si="168"/>
        <v/>
      </c>
      <c r="CK108" s="184"/>
      <c r="CM108" s="184"/>
      <c r="CN108"/>
      <c r="CP108"/>
      <c r="CR108"/>
      <c r="CT108"/>
      <c r="CV108"/>
      <c r="CX108"/>
      <c r="CZ108"/>
      <c r="DB108"/>
      <c r="DD108"/>
      <c r="DF108"/>
      <c r="ED108" s="184"/>
      <c r="EF108" s="184"/>
      <c r="EH108" s="184"/>
      <c r="EJ108" s="184"/>
      <c r="EL108" s="184"/>
      <c r="EN108" s="184"/>
      <c r="EP108" s="184"/>
      <c r="ER108" s="184"/>
      <c r="ET108" s="184"/>
      <c r="EV108" s="184"/>
      <c r="EX108" s="184"/>
      <c r="EZ108" s="184"/>
      <c r="FB108" s="184"/>
    </row>
    <row r="109" spans="1:158">
      <c r="A109" s="184">
        <f t="shared" si="127"/>
        <v>-15.5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>
        <f t="shared" si="170"/>
        <v>20784.375000000004</v>
      </c>
      <c r="Y109" s="18"/>
      <c r="Z109" s="18">
        <f t="shared" si="171"/>
        <v>16590</v>
      </c>
      <c r="AA109" s="18">
        <f t="shared" si="172"/>
        <v>21330</v>
      </c>
      <c r="AB109" s="18">
        <f t="shared" si="173"/>
        <v>23815</v>
      </c>
      <c r="AC109" s="18">
        <f t="shared" si="174"/>
        <v>6003</v>
      </c>
      <c r="AD109" s="18">
        <f t="shared" si="174"/>
        <v>7194</v>
      </c>
      <c r="AE109" s="18">
        <f t="shared" si="174"/>
        <v>9248</v>
      </c>
      <c r="AF109" s="18">
        <f t="shared" si="174"/>
        <v>13680.000000000002</v>
      </c>
      <c r="AG109" s="18">
        <f t="shared" si="174"/>
        <v>13195</v>
      </c>
      <c r="AH109" s="18">
        <f t="shared" si="174"/>
        <v>6710</v>
      </c>
      <c r="AI109" s="18">
        <f t="shared" si="174"/>
        <v>7800</v>
      </c>
      <c r="AJ109" s="18">
        <f t="shared" si="174"/>
        <v>12960</v>
      </c>
      <c r="AK109" s="18">
        <f t="shared" si="174"/>
        <v>15120</v>
      </c>
      <c r="AL109" s="18">
        <f t="shared" si="175"/>
        <v>12980</v>
      </c>
      <c r="AM109" s="18">
        <f t="shared" si="176"/>
        <v>14750</v>
      </c>
      <c r="AN109" s="18">
        <f t="shared" si="177"/>
        <v>16874</v>
      </c>
      <c r="AO109" s="18">
        <f t="shared" si="178"/>
        <v>26550</v>
      </c>
      <c r="AP109" s="18">
        <f t="shared" si="179"/>
        <v>28320</v>
      </c>
      <c r="AQ109" s="18">
        <f t="shared" si="180"/>
        <v>31860</v>
      </c>
      <c r="AR109" s="18">
        <f t="shared" si="181"/>
        <v>86848</v>
      </c>
      <c r="AS109" s="18">
        <f t="shared" si="123"/>
        <v>45000</v>
      </c>
      <c r="AT109" s="184" t="str">
        <f t="shared" si="128"/>
        <v/>
      </c>
      <c r="AU109" s="184" t="str">
        <f t="shared" si="129"/>
        <v/>
      </c>
      <c r="AV109" s="184" t="str">
        <f t="shared" si="130"/>
        <v/>
      </c>
      <c r="AW109" s="184" t="str">
        <f t="shared" si="131"/>
        <v/>
      </c>
      <c r="AX109" s="184" t="str">
        <f t="shared" si="132"/>
        <v/>
      </c>
      <c r="AY109" s="184" t="str">
        <f t="shared" si="133"/>
        <v/>
      </c>
      <c r="AZ109" s="184" t="str">
        <f t="shared" si="134"/>
        <v/>
      </c>
      <c r="BA109" s="184" t="str">
        <f t="shared" si="135"/>
        <v/>
      </c>
      <c r="BB109" s="184" t="str">
        <f t="shared" si="136"/>
        <v/>
      </c>
      <c r="BC109" s="184" t="str">
        <f t="shared" si="137"/>
        <v/>
      </c>
      <c r="BD109" s="184" t="str">
        <f t="shared" si="138"/>
        <v/>
      </c>
      <c r="BE109" s="184" t="str">
        <f t="shared" si="139"/>
        <v/>
      </c>
      <c r="BF109" s="184" t="str">
        <f t="shared" si="140"/>
        <v/>
      </c>
      <c r="BG109" s="184" t="str">
        <f t="shared" si="141"/>
        <v/>
      </c>
      <c r="BH109" s="184" t="str">
        <f t="shared" si="142"/>
        <v/>
      </c>
      <c r="BI109" s="184" t="str">
        <f t="shared" si="143"/>
        <v/>
      </c>
      <c r="BJ109" s="184" t="str">
        <f t="shared" si="144"/>
        <v/>
      </c>
      <c r="BK109" s="184" t="str">
        <f t="shared" si="145"/>
        <v/>
      </c>
      <c r="BL109" s="184" t="str">
        <f t="shared" si="146"/>
        <v/>
      </c>
      <c r="BM109" s="184" t="str">
        <f t="shared" si="147"/>
        <v/>
      </c>
      <c r="BN109" s="184" t="str">
        <f t="shared" si="148"/>
        <v/>
      </c>
      <c r="BO109" s="184" t="str">
        <f t="shared" si="149"/>
        <v/>
      </c>
      <c r="BP109" s="184" t="str">
        <f t="shared" si="150"/>
        <v/>
      </c>
      <c r="BQ109" s="184" t="str">
        <f t="shared" si="151"/>
        <v/>
      </c>
      <c r="BR109" s="184" t="str">
        <f t="shared" si="169"/>
        <v/>
      </c>
      <c r="BS109" s="184" t="str">
        <f t="shared" si="169"/>
        <v/>
      </c>
      <c r="BT109" s="184" t="str">
        <f t="shared" si="169"/>
        <v/>
      </c>
      <c r="BU109" s="184" t="str">
        <f t="shared" si="153"/>
        <v/>
      </c>
      <c r="BV109" s="184" t="str">
        <f t="shared" si="154"/>
        <v/>
      </c>
      <c r="BW109" s="184" t="str">
        <f t="shared" si="155"/>
        <v/>
      </c>
      <c r="BX109" s="184" t="str">
        <f t="shared" si="156"/>
        <v/>
      </c>
      <c r="BY109" s="184" t="str">
        <f t="shared" si="157"/>
        <v/>
      </c>
      <c r="BZ109" s="184" t="str">
        <f t="shared" si="158"/>
        <v/>
      </c>
      <c r="CA109" s="184" t="str">
        <f t="shared" si="159"/>
        <v/>
      </c>
      <c r="CB109" s="184" t="str">
        <f t="shared" si="160"/>
        <v/>
      </c>
      <c r="CC109" s="184" t="str">
        <f t="shared" si="161"/>
        <v/>
      </c>
      <c r="CD109" s="184" t="str">
        <f t="shared" si="162"/>
        <v/>
      </c>
      <c r="CE109" s="184" t="str">
        <f t="shared" si="163"/>
        <v/>
      </c>
      <c r="CF109" s="184" t="str">
        <f t="shared" si="164"/>
        <v/>
      </c>
      <c r="CG109" s="184" t="str">
        <f t="shared" si="165"/>
        <v/>
      </c>
      <c r="CH109" s="184" t="str">
        <f t="shared" si="166"/>
        <v/>
      </c>
      <c r="CI109" s="184" t="str">
        <f t="shared" si="167"/>
        <v/>
      </c>
      <c r="CJ109" s="184" t="str">
        <f t="shared" si="168"/>
        <v/>
      </c>
      <c r="CK109" s="184"/>
      <c r="CM109" s="184"/>
      <c r="CN109"/>
      <c r="CP109"/>
      <c r="CR109"/>
      <c r="CT109"/>
      <c r="CV109"/>
      <c r="CX109"/>
      <c r="CZ109"/>
      <c r="DB109"/>
      <c r="DD109"/>
      <c r="DF109"/>
      <c r="ED109" s="184"/>
      <c r="EF109" s="184"/>
      <c r="EH109" s="184"/>
      <c r="EJ109" s="184"/>
      <c r="EL109" s="184"/>
      <c r="EN109" s="184"/>
      <c r="EP109" s="184"/>
      <c r="ER109" s="184"/>
      <c r="ET109" s="184"/>
      <c r="EV109" s="184"/>
      <c r="EX109" s="184"/>
      <c r="EZ109" s="184"/>
      <c r="FB109" s="184"/>
    </row>
    <row r="110" spans="1:158">
      <c r="A110" s="184">
        <f t="shared" si="127"/>
        <v>-15</v>
      </c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>
        <f t="shared" si="170"/>
        <v>21015.000000000004</v>
      </c>
      <c r="Y110" s="18"/>
      <c r="Z110" s="18">
        <f t="shared" si="171"/>
        <v>16800</v>
      </c>
      <c r="AA110" s="18">
        <f t="shared" si="172"/>
        <v>21600</v>
      </c>
      <c r="AB110" s="18">
        <f t="shared" si="173"/>
        <v>24200</v>
      </c>
      <c r="AC110" s="18">
        <f t="shared" si="174"/>
        <v>6090</v>
      </c>
      <c r="AD110" s="18">
        <f t="shared" si="174"/>
        <v>7303</v>
      </c>
      <c r="AE110" s="18">
        <f t="shared" si="174"/>
        <v>9384</v>
      </c>
      <c r="AF110" s="18">
        <f t="shared" si="174"/>
        <v>13860.000000000002</v>
      </c>
      <c r="AG110" s="18">
        <f t="shared" si="174"/>
        <v>13398</v>
      </c>
      <c r="AH110" s="18">
        <f t="shared" si="174"/>
        <v>6820</v>
      </c>
      <c r="AI110" s="18">
        <f t="shared" si="174"/>
        <v>7930</v>
      </c>
      <c r="AJ110" s="18">
        <f t="shared" si="174"/>
        <v>13140</v>
      </c>
      <c r="AK110" s="18">
        <f t="shared" si="174"/>
        <v>15330</v>
      </c>
      <c r="AL110" s="18">
        <f t="shared" si="175"/>
        <v>13200</v>
      </c>
      <c r="AM110" s="18">
        <f t="shared" si="176"/>
        <v>15000</v>
      </c>
      <c r="AN110" s="18">
        <f t="shared" si="177"/>
        <v>17160</v>
      </c>
      <c r="AO110" s="18">
        <f t="shared" si="178"/>
        <v>27000</v>
      </c>
      <c r="AP110" s="18">
        <f t="shared" si="179"/>
        <v>28800</v>
      </c>
      <c r="AQ110" s="18">
        <f t="shared" si="180"/>
        <v>32400</v>
      </c>
      <c r="AR110" s="18">
        <f t="shared" si="181"/>
        <v>88320</v>
      </c>
      <c r="AS110" s="18">
        <f t="shared" si="123"/>
        <v>45000</v>
      </c>
      <c r="AT110" s="184" t="str">
        <f t="shared" si="128"/>
        <v/>
      </c>
      <c r="AU110" s="184" t="str">
        <f t="shared" si="129"/>
        <v/>
      </c>
      <c r="AV110" s="184" t="str">
        <f t="shared" si="130"/>
        <v/>
      </c>
      <c r="AW110" s="184" t="str">
        <f t="shared" si="131"/>
        <v/>
      </c>
      <c r="AX110" s="184" t="str">
        <f t="shared" si="132"/>
        <v/>
      </c>
      <c r="AY110" s="184" t="str">
        <f t="shared" si="133"/>
        <v/>
      </c>
      <c r="AZ110" s="184" t="str">
        <f t="shared" si="134"/>
        <v/>
      </c>
      <c r="BA110" s="184" t="str">
        <f t="shared" si="135"/>
        <v/>
      </c>
      <c r="BB110" s="184" t="str">
        <f t="shared" si="136"/>
        <v/>
      </c>
      <c r="BC110" s="184" t="str">
        <f t="shared" si="137"/>
        <v/>
      </c>
      <c r="BD110" s="184" t="str">
        <f t="shared" si="138"/>
        <v/>
      </c>
      <c r="BE110" s="184" t="str">
        <f t="shared" si="139"/>
        <v/>
      </c>
      <c r="BF110" s="184" t="str">
        <f t="shared" si="140"/>
        <v/>
      </c>
      <c r="BG110" s="184" t="str">
        <f t="shared" si="141"/>
        <v/>
      </c>
      <c r="BH110" s="184" t="str">
        <f t="shared" si="142"/>
        <v/>
      </c>
      <c r="BI110" s="184" t="str">
        <f t="shared" si="143"/>
        <v/>
      </c>
      <c r="BJ110" s="184" t="str">
        <f t="shared" si="144"/>
        <v/>
      </c>
      <c r="BK110" s="184" t="str">
        <f t="shared" si="145"/>
        <v/>
      </c>
      <c r="BL110" s="184" t="str">
        <f t="shared" si="146"/>
        <v/>
      </c>
      <c r="BM110" s="184" t="str">
        <f t="shared" si="147"/>
        <v/>
      </c>
      <c r="BN110" s="184" t="str">
        <f t="shared" si="148"/>
        <v/>
      </c>
      <c r="BO110" s="184" t="str">
        <f t="shared" si="149"/>
        <v/>
      </c>
      <c r="BP110" s="184" t="str">
        <f t="shared" si="150"/>
        <v/>
      </c>
      <c r="BQ110" s="184" t="str">
        <f t="shared" si="151"/>
        <v/>
      </c>
      <c r="BR110" s="184" t="str">
        <f t="shared" si="169"/>
        <v/>
      </c>
      <c r="BS110" s="184" t="str">
        <f t="shared" si="169"/>
        <v/>
      </c>
      <c r="BT110" s="184" t="str">
        <f t="shared" si="169"/>
        <v/>
      </c>
      <c r="BU110" s="184" t="str">
        <f t="shared" si="153"/>
        <v/>
      </c>
      <c r="BV110" s="184" t="str">
        <f t="shared" si="154"/>
        <v/>
      </c>
      <c r="BW110" s="184" t="str">
        <f t="shared" si="155"/>
        <v/>
      </c>
      <c r="BX110" s="184" t="str">
        <f t="shared" si="156"/>
        <v/>
      </c>
      <c r="BY110" s="184" t="str">
        <f t="shared" si="157"/>
        <v/>
      </c>
      <c r="BZ110" s="184" t="str">
        <f t="shared" si="158"/>
        <v/>
      </c>
      <c r="CA110" s="184" t="str">
        <f t="shared" si="159"/>
        <v/>
      </c>
      <c r="CB110" s="184" t="str">
        <f t="shared" si="160"/>
        <v/>
      </c>
      <c r="CC110" s="184" t="str">
        <f t="shared" si="161"/>
        <v/>
      </c>
      <c r="CD110" s="184" t="str">
        <f t="shared" si="162"/>
        <v/>
      </c>
      <c r="CE110" s="184" t="str">
        <f t="shared" si="163"/>
        <v/>
      </c>
      <c r="CF110" s="184" t="str">
        <f t="shared" si="164"/>
        <v/>
      </c>
      <c r="CG110" s="184" t="str">
        <f t="shared" si="165"/>
        <v/>
      </c>
      <c r="CH110" s="184" t="str">
        <f t="shared" si="166"/>
        <v/>
      </c>
      <c r="CI110" s="184" t="str">
        <f t="shared" si="167"/>
        <v/>
      </c>
      <c r="CJ110" s="184" t="str">
        <f t="shared" si="168"/>
        <v/>
      </c>
      <c r="CK110" s="184"/>
      <c r="CM110" s="184"/>
      <c r="CN110"/>
      <c r="CP110"/>
      <c r="CR110"/>
      <c r="CT110"/>
      <c r="CV110"/>
      <c r="CX110"/>
      <c r="CZ110"/>
      <c r="DB110"/>
      <c r="DD110"/>
      <c r="DF110"/>
      <c r="ED110" s="184"/>
      <c r="EF110" s="184"/>
      <c r="EH110" s="184"/>
      <c r="EJ110" s="184"/>
      <c r="EL110" s="184"/>
      <c r="EN110" s="184"/>
      <c r="EP110" s="184"/>
      <c r="ER110" s="184"/>
      <c r="ET110" s="184"/>
      <c r="EV110" s="184"/>
      <c r="EX110" s="184"/>
      <c r="EZ110" s="184"/>
      <c r="FB110" s="184"/>
    </row>
    <row r="111" spans="1:158">
      <c r="A111" s="184">
        <f t="shared" si="127"/>
        <v>-14.5</v>
      </c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>
        <f t="shared" si="170"/>
        <v>21245.625000000004</v>
      </c>
      <c r="Y111" s="18"/>
      <c r="Z111" s="18">
        <f t="shared" si="171"/>
        <v>17010</v>
      </c>
      <c r="AA111" s="18">
        <f t="shared" si="172"/>
        <v>21870</v>
      </c>
      <c r="AB111" s="18">
        <f t="shared" si="173"/>
        <v>24585</v>
      </c>
      <c r="AC111" s="18">
        <f t="shared" si="174"/>
        <v>6177</v>
      </c>
      <c r="AD111" s="18">
        <f t="shared" si="174"/>
        <v>7412</v>
      </c>
      <c r="AE111" s="18">
        <f t="shared" si="174"/>
        <v>9520</v>
      </c>
      <c r="AF111" s="18">
        <f t="shared" si="174"/>
        <v>14040.000000000002</v>
      </c>
      <c r="AG111" s="18">
        <f t="shared" si="174"/>
        <v>13601</v>
      </c>
      <c r="AH111" s="18">
        <f t="shared" si="174"/>
        <v>6930</v>
      </c>
      <c r="AI111" s="18">
        <f t="shared" si="174"/>
        <v>8060</v>
      </c>
      <c r="AJ111" s="18">
        <f t="shared" si="174"/>
        <v>13320</v>
      </c>
      <c r="AK111" s="18">
        <f t="shared" si="174"/>
        <v>15540</v>
      </c>
      <c r="AL111" s="18">
        <f t="shared" si="175"/>
        <v>13420</v>
      </c>
      <c r="AM111" s="18">
        <f t="shared" si="176"/>
        <v>15250</v>
      </c>
      <c r="AN111" s="18">
        <f t="shared" si="177"/>
        <v>17446</v>
      </c>
      <c r="AO111" s="18">
        <f t="shared" si="178"/>
        <v>27450</v>
      </c>
      <c r="AP111" s="18">
        <f t="shared" si="179"/>
        <v>29280</v>
      </c>
      <c r="AQ111" s="18">
        <f t="shared" si="180"/>
        <v>32940</v>
      </c>
      <c r="AR111" s="18">
        <f t="shared" si="181"/>
        <v>89792</v>
      </c>
      <c r="AS111" s="18">
        <f t="shared" si="123"/>
        <v>45000</v>
      </c>
      <c r="AT111" s="184" t="str">
        <f t="shared" si="128"/>
        <v/>
      </c>
      <c r="AU111" s="184" t="str">
        <f t="shared" si="129"/>
        <v/>
      </c>
      <c r="AV111" s="184" t="str">
        <f t="shared" si="130"/>
        <v/>
      </c>
      <c r="AW111" s="184" t="str">
        <f t="shared" si="131"/>
        <v/>
      </c>
      <c r="AX111" s="184" t="str">
        <f t="shared" si="132"/>
        <v/>
      </c>
      <c r="AY111" s="184" t="str">
        <f t="shared" si="133"/>
        <v/>
      </c>
      <c r="AZ111" s="184" t="str">
        <f t="shared" si="134"/>
        <v/>
      </c>
      <c r="BA111" s="184" t="str">
        <f t="shared" si="135"/>
        <v/>
      </c>
      <c r="BB111" s="184" t="str">
        <f t="shared" si="136"/>
        <v/>
      </c>
      <c r="BC111" s="184" t="str">
        <f t="shared" si="137"/>
        <v/>
      </c>
      <c r="BD111" s="184" t="str">
        <f t="shared" si="138"/>
        <v/>
      </c>
      <c r="BE111" s="184" t="str">
        <f t="shared" si="139"/>
        <v/>
      </c>
      <c r="BF111" s="184" t="str">
        <f t="shared" si="140"/>
        <v/>
      </c>
      <c r="BG111" s="184" t="str">
        <f t="shared" si="141"/>
        <v/>
      </c>
      <c r="BH111" s="184" t="str">
        <f t="shared" si="142"/>
        <v/>
      </c>
      <c r="BI111" s="184" t="str">
        <f t="shared" si="143"/>
        <v/>
      </c>
      <c r="BJ111" s="184" t="str">
        <f t="shared" si="144"/>
        <v/>
      </c>
      <c r="BK111" s="184" t="str">
        <f t="shared" si="145"/>
        <v/>
      </c>
      <c r="BL111" s="184" t="str">
        <f t="shared" si="146"/>
        <v/>
      </c>
      <c r="BM111" s="184" t="str">
        <f t="shared" si="147"/>
        <v/>
      </c>
      <c r="BN111" s="184" t="str">
        <f t="shared" si="148"/>
        <v/>
      </c>
      <c r="BO111" s="184" t="str">
        <f t="shared" si="149"/>
        <v/>
      </c>
      <c r="BP111" s="184" t="str">
        <f t="shared" si="150"/>
        <v/>
      </c>
      <c r="BQ111" s="184" t="str">
        <f t="shared" si="151"/>
        <v/>
      </c>
      <c r="BR111" s="184" t="str">
        <f t="shared" si="169"/>
        <v/>
      </c>
      <c r="BS111" s="184" t="str">
        <f t="shared" si="169"/>
        <v/>
      </c>
      <c r="BT111" s="184" t="str">
        <f t="shared" si="169"/>
        <v/>
      </c>
      <c r="BU111" s="184" t="str">
        <f t="shared" si="153"/>
        <v/>
      </c>
      <c r="BV111" s="184" t="str">
        <f t="shared" si="154"/>
        <v/>
      </c>
      <c r="BW111" s="184" t="str">
        <f t="shared" si="155"/>
        <v/>
      </c>
      <c r="BX111" s="184" t="str">
        <f t="shared" si="156"/>
        <v/>
      </c>
      <c r="BY111" s="184" t="str">
        <f t="shared" si="157"/>
        <v/>
      </c>
      <c r="BZ111" s="184" t="str">
        <f t="shared" si="158"/>
        <v/>
      </c>
      <c r="CA111" s="184" t="str">
        <f t="shared" si="159"/>
        <v/>
      </c>
      <c r="CB111" s="184" t="str">
        <f t="shared" si="160"/>
        <v/>
      </c>
      <c r="CC111" s="184" t="str">
        <f t="shared" si="161"/>
        <v/>
      </c>
      <c r="CD111" s="184" t="str">
        <f t="shared" si="162"/>
        <v/>
      </c>
      <c r="CE111" s="184" t="str">
        <f t="shared" si="163"/>
        <v/>
      </c>
      <c r="CF111" s="184" t="str">
        <f t="shared" si="164"/>
        <v/>
      </c>
      <c r="CG111" s="184" t="str">
        <f t="shared" si="165"/>
        <v/>
      </c>
      <c r="CH111" s="184" t="str">
        <f t="shared" si="166"/>
        <v/>
      </c>
      <c r="CI111" s="184" t="str">
        <f t="shared" si="167"/>
        <v/>
      </c>
      <c r="CJ111" s="184" t="str">
        <f t="shared" si="168"/>
        <v/>
      </c>
      <c r="CK111" s="184"/>
      <c r="CM111" s="184"/>
      <c r="CN111"/>
      <c r="CP111"/>
      <c r="CR111"/>
      <c r="CT111"/>
      <c r="CV111"/>
      <c r="CX111"/>
      <c r="CZ111"/>
      <c r="DB111"/>
      <c r="DD111"/>
      <c r="DF111"/>
      <c r="ED111" s="184"/>
      <c r="EF111" s="184"/>
      <c r="EH111" s="184"/>
      <c r="EJ111" s="184"/>
      <c r="EL111" s="184"/>
      <c r="EN111" s="184"/>
      <c r="EP111" s="184"/>
      <c r="ER111" s="184"/>
      <c r="ET111" s="184"/>
      <c r="EV111" s="184"/>
      <c r="EX111" s="184"/>
      <c r="EZ111" s="184"/>
      <c r="FB111" s="184"/>
    </row>
    <row r="112" spans="1:158">
      <c r="A112" s="184">
        <f t="shared" si="127"/>
        <v>-14</v>
      </c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>
        <f t="shared" si="170"/>
        <v>21476.250000000004</v>
      </c>
      <c r="Y112" s="18"/>
      <c r="Z112" s="18">
        <f t="shared" si="171"/>
        <v>17220</v>
      </c>
      <c r="AA112" s="18">
        <f t="shared" si="172"/>
        <v>22140</v>
      </c>
      <c r="AB112" s="18">
        <f t="shared" si="173"/>
        <v>24970</v>
      </c>
      <c r="AC112" s="18">
        <f t="shared" si="174"/>
        <v>6264</v>
      </c>
      <c r="AD112" s="18">
        <f t="shared" si="174"/>
        <v>7521</v>
      </c>
      <c r="AE112" s="18">
        <f t="shared" si="174"/>
        <v>9656</v>
      </c>
      <c r="AF112" s="18">
        <f t="shared" si="174"/>
        <v>14220.000000000002</v>
      </c>
      <c r="AG112" s="18">
        <f t="shared" si="174"/>
        <v>13804</v>
      </c>
      <c r="AH112" s="18">
        <f t="shared" si="174"/>
        <v>7040</v>
      </c>
      <c r="AI112" s="18">
        <f t="shared" si="174"/>
        <v>8190</v>
      </c>
      <c r="AJ112" s="18">
        <f t="shared" si="174"/>
        <v>13500</v>
      </c>
      <c r="AK112" s="18">
        <f t="shared" si="174"/>
        <v>15750</v>
      </c>
      <c r="AL112" s="18">
        <f t="shared" si="175"/>
        <v>13640</v>
      </c>
      <c r="AM112" s="18">
        <f t="shared" si="176"/>
        <v>15500</v>
      </c>
      <c r="AN112" s="18">
        <f t="shared" si="177"/>
        <v>17732</v>
      </c>
      <c r="AO112" s="18">
        <f t="shared" si="178"/>
        <v>27900</v>
      </c>
      <c r="AP112" s="18">
        <f t="shared" si="179"/>
        <v>29760</v>
      </c>
      <c r="AQ112" s="18">
        <f t="shared" si="180"/>
        <v>33480</v>
      </c>
      <c r="AR112" s="18">
        <f t="shared" si="181"/>
        <v>91264</v>
      </c>
      <c r="AS112" s="18">
        <f t="shared" si="123"/>
        <v>45000</v>
      </c>
      <c r="AT112" s="184" t="str">
        <f t="shared" si="128"/>
        <v/>
      </c>
      <c r="AU112" s="184" t="str">
        <f t="shared" si="129"/>
        <v/>
      </c>
      <c r="AV112" s="184" t="str">
        <f t="shared" si="130"/>
        <v/>
      </c>
      <c r="AW112" s="184" t="str">
        <f t="shared" si="131"/>
        <v/>
      </c>
      <c r="AX112" s="184" t="str">
        <f t="shared" si="132"/>
        <v/>
      </c>
      <c r="AY112" s="184" t="str">
        <f t="shared" si="133"/>
        <v/>
      </c>
      <c r="AZ112" s="184" t="str">
        <f t="shared" si="134"/>
        <v/>
      </c>
      <c r="BA112" s="184" t="str">
        <f t="shared" si="135"/>
        <v/>
      </c>
      <c r="BB112" s="184" t="str">
        <f t="shared" si="136"/>
        <v/>
      </c>
      <c r="BC112" s="184" t="str">
        <f t="shared" si="137"/>
        <v/>
      </c>
      <c r="BD112" s="184" t="str">
        <f t="shared" si="138"/>
        <v/>
      </c>
      <c r="BE112" s="184" t="str">
        <f t="shared" si="139"/>
        <v/>
      </c>
      <c r="BF112" s="184" t="str">
        <f t="shared" si="140"/>
        <v/>
      </c>
      <c r="BG112" s="184" t="str">
        <f t="shared" si="141"/>
        <v/>
      </c>
      <c r="BH112" s="184" t="str">
        <f t="shared" si="142"/>
        <v/>
      </c>
      <c r="BI112" s="184" t="str">
        <f t="shared" si="143"/>
        <v/>
      </c>
      <c r="BJ112" s="184" t="str">
        <f t="shared" si="144"/>
        <v/>
      </c>
      <c r="BK112" s="184" t="str">
        <f t="shared" si="145"/>
        <v/>
      </c>
      <c r="BL112" s="184" t="str">
        <f t="shared" si="146"/>
        <v/>
      </c>
      <c r="BM112" s="184" t="str">
        <f t="shared" si="147"/>
        <v/>
      </c>
      <c r="BN112" s="184" t="str">
        <f t="shared" si="148"/>
        <v/>
      </c>
      <c r="BO112" s="184" t="str">
        <f t="shared" si="149"/>
        <v/>
      </c>
      <c r="BP112" s="184" t="str">
        <f t="shared" si="150"/>
        <v/>
      </c>
      <c r="BQ112" s="184" t="str">
        <f t="shared" si="151"/>
        <v/>
      </c>
      <c r="BR112" s="184" t="str">
        <f t="shared" si="169"/>
        <v/>
      </c>
      <c r="BS112" s="184" t="str">
        <f t="shared" si="169"/>
        <v/>
      </c>
      <c r="BT112" s="184" t="str">
        <f t="shared" si="169"/>
        <v/>
      </c>
      <c r="BU112" s="184" t="str">
        <f t="shared" si="153"/>
        <v/>
      </c>
      <c r="BV112" s="184" t="str">
        <f t="shared" si="154"/>
        <v/>
      </c>
      <c r="BW112" s="184" t="str">
        <f t="shared" si="155"/>
        <v/>
      </c>
      <c r="BX112" s="184" t="str">
        <f t="shared" si="156"/>
        <v/>
      </c>
      <c r="BY112" s="184" t="str">
        <f t="shared" si="157"/>
        <v/>
      </c>
      <c r="BZ112" s="184" t="str">
        <f t="shared" si="158"/>
        <v/>
      </c>
      <c r="CA112" s="184" t="str">
        <f t="shared" si="159"/>
        <v/>
      </c>
      <c r="CB112" s="184" t="str">
        <f t="shared" si="160"/>
        <v/>
      </c>
      <c r="CC112" s="184" t="str">
        <f t="shared" si="161"/>
        <v/>
      </c>
      <c r="CD112" s="184" t="str">
        <f t="shared" si="162"/>
        <v/>
      </c>
      <c r="CE112" s="184" t="str">
        <f t="shared" si="163"/>
        <v/>
      </c>
      <c r="CF112" s="184" t="str">
        <f t="shared" si="164"/>
        <v/>
      </c>
      <c r="CG112" s="184" t="str">
        <f t="shared" si="165"/>
        <v/>
      </c>
      <c r="CH112" s="184" t="str">
        <f t="shared" si="166"/>
        <v/>
      </c>
      <c r="CI112" s="184" t="str">
        <f t="shared" si="167"/>
        <v/>
      </c>
      <c r="CJ112" s="184" t="str">
        <f t="shared" si="168"/>
        <v/>
      </c>
      <c r="CK112" s="184"/>
      <c r="CM112" s="184"/>
      <c r="CN112"/>
      <c r="CP112"/>
      <c r="CR112"/>
      <c r="CT112"/>
      <c r="CV112"/>
      <c r="CX112"/>
      <c r="CZ112"/>
      <c r="DB112"/>
      <c r="DD112"/>
      <c r="DF112"/>
      <c r="ED112" s="184"/>
      <c r="EF112" s="184"/>
      <c r="EH112" s="184"/>
      <c r="EJ112" s="184"/>
      <c r="EL112" s="184"/>
      <c r="EN112" s="184"/>
      <c r="EP112" s="184"/>
      <c r="ER112" s="184"/>
      <c r="ET112" s="184"/>
      <c r="EV112" s="184"/>
      <c r="EX112" s="184"/>
      <c r="EZ112" s="184"/>
      <c r="FB112" s="184"/>
    </row>
    <row r="113" spans="1:158">
      <c r="A113" s="184">
        <f t="shared" si="127"/>
        <v>-13.5</v>
      </c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>
        <f t="shared" si="170"/>
        <v>21706.875000000004</v>
      </c>
      <c r="Y113" s="18"/>
      <c r="Z113" s="18">
        <f t="shared" si="171"/>
        <v>17430</v>
      </c>
      <c r="AA113" s="18">
        <f t="shared" si="172"/>
        <v>22410</v>
      </c>
      <c r="AB113" s="18">
        <f t="shared" si="173"/>
        <v>25355</v>
      </c>
      <c r="AC113" s="18">
        <f t="shared" si="174"/>
        <v>6351</v>
      </c>
      <c r="AD113" s="18">
        <f t="shared" si="174"/>
        <v>7630</v>
      </c>
      <c r="AE113" s="18">
        <f t="shared" si="174"/>
        <v>9792</v>
      </c>
      <c r="AF113" s="18">
        <f t="shared" si="174"/>
        <v>14400.000000000002</v>
      </c>
      <c r="AG113" s="18">
        <f t="shared" si="174"/>
        <v>14007</v>
      </c>
      <c r="AH113" s="18">
        <f t="shared" si="174"/>
        <v>7150</v>
      </c>
      <c r="AI113" s="18">
        <f t="shared" si="174"/>
        <v>8320</v>
      </c>
      <c r="AJ113" s="18">
        <f t="shared" si="174"/>
        <v>13680</v>
      </c>
      <c r="AK113" s="18">
        <f t="shared" si="174"/>
        <v>15960</v>
      </c>
      <c r="AL113" s="18">
        <f t="shared" si="175"/>
        <v>13860</v>
      </c>
      <c r="AM113" s="18">
        <f t="shared" si="176"/>
        <v>15750</v>
      </c>
      <c r="AN113" s="18">
        <f t="shared" si="177"/>
        <v>18018</v>
      </c>
      <c r="AO113" s="18">
        <f t="shared" si="178"/>
        <v>28350</v>
      </c>
      <c r="AP113" s="18">
        <f t="shared" si="179"/>
        <v>30240</v>
      </c>
      <c r="AQ113" s="18">
        <f t="shared" si="180"/>
        <v>34020</v>
      </c>
      <c r="AR113" s="18">
        <f t="shared" si="181"/>
        <v>92736</v>
      </c>
      <c r="AS113" s="18">
        <f t="shared" si="123"/>
        <v>45000</v>
      </c>
      <c r="AT113" s="184" t="str">
        <f t="shared" si="128"/>
        <v/>
      </c>
      <c r="AU113" s="184" t="str">
        <f t="shared" si="129"/>
        <v/>
      </c>
      <c r="AV113" s="184" t="str">
        <f t="shared" si="130"/>
        <v/>
      </c>
      <c r="AW113" s="184" t="str">
        <f t="shared" si="131"/>
        <v/>
      </c>
      <c r="AX113" s="184" t="str">
        <f t="shared" si="132"/>
        <v/>
      </c>
      <c r="AY113" s="184" t="str">
        <f t="shared" si="133"/>
        <v/>
      </c>
      <c r="AZ113" s="184" t="str">
        <f t="shared" si="134"/>
        <v/>
      </c>
      <c r="BA113" s="184" t="str">
        <f t="shared" si="135"/>
        <v/>
      </c>
      <c r="BB113" s="184" t="str">
        <f t="shared" si="136"/>
        <v/>
      </c>
      <c r="BC113" s="184" t="str">
        <f t="shared" si="137"/>
        <v/>
      </c>
      <c r="BD113" s="184" t="str">
        <f t="shared" si="138"/>
        <v/>
      </c>
      <c r="BE113" s="184" t="str">
        <f t="shared" si="139"/>
        <v/>
      </c>
      <c r="BF113" s="184" t="str">
        <f t="shared" si="140"/>
        <v/>
      </c>
      <c r="BG113" s="184" t="str">
        <f t="shared" si="141"/>
        <v/>
      </c>
      <c r="BH113" s="184" t="str">
        <f t="shared" si="142"/>
        <v/>
      </c>
      <c r="BI113" s="184" t="str">
        <f t="shared" si="143"/>
        <v/>
      </c>
      <c r="BJ113" s="184" t="str">
        <f t="shared" si="144"/>
        <v/>
      </c>
      <c r="BK113" s="184" t="str">
        <f t="shared" si="145"/>
        <v/>
      </c>
      <c r="BL113" s="184" t="str">
        <f t="shared" si="146"/>
        <v/>
      </c>
      <c r="BM113" s="184" t="str">
        <f t="shared" si="147"/>
        <v/>
      </c>
      <c r="BN113" s="184" t="str">
        <f t="shared" si="148"/>
        <v/>
      </c>
      <c r="BO113" s="184" t="str">
        <f t="shared" si="149"/>
        <v/>
      </c>
      <c r="BP113" s="184" t="str">
        <f t="shared" si="150"/>
        <v/>
      </c>
      <c r="BQ113" s="184" t="str">
        <f t="shared" si="151"/>
        <v/>
      </c>
      <c r="BR113" s="184" t="str">
        <f t="shared" si="169"/>
        <v/>
      </c>
      <c r="BS113" s="184" t="str">
        <f t="shared" si="169"/>
        <v/>
      </c>
      <c r="BT113" s="184" t="str">
        <f t="shared" si="169"/>
        <v/>
      </c>
      <c r="BU113" s="184" t="str">
        <f t="shared" si="153"/>
        <v/>
      </c>
      <c r="BV113" s="184" t="str">
        <f t="shared" si="154"/>
        <v/>
      </c>
      <c r="BW113" s="184" t="str">
        <f t="shared" si="155"/>
        <v/>
      </c>
      <c r="BX113" s="184" t="str">
        <f t="shared" si="156"/>
        <v/>
      </c>
      <c r="BY113" s="184" t="str">
        <f t="shared" si="157"/>
        <v/>
      </c>
      <c r="BZ113" s="184" t="str">
        <f t="shared" si="158"/>
        <v/>
      </c>
      <c r="CA113" s="184" t="str">
        <f t="shared" si="159"/>
        <v/>
      </c>
      <c r="CB113" s="184" t="str">
        <f t="shared" si="160"/>
        <v/>
      </c>
      <c r="CC113" s="184" t="str">
        <f t="shared" si="161"/>
        <v/>
      </c>
      <c r="CD113" s="184" t="str">
        <f t="shared" si="162"/>
        <v/>
      </c>
      <c r="CE113" s="184" t="str">
        <f t="shared" si="163"/>
        <v/>
      </c>
      <c r="CF113" s="184" t="str">
        <f t="shared" si="164"/>
        <v/>
      </c>
      <c r="CG113" s="184" t="str">
        <f t="shared" si="165"/>
        <v/>
      </c>
      <c r="CH113" s="184" t="str">
        <f t="shared" si="166"/>
        <v/>
      </c>
      <c r="CI113" s="184" t="str">
        <f t="shared" si="167"/>
        <v/>
      </c>
      <c r="CJ113" s="184" t="str">
        <f t="shared" si="168"/>
        <v/>
      </c>
      <c r="CK113" s="184"/>
      <c r="CM113" s="184"/>
      <c r="CN113"/>
      <c r="CP113"/>
      <c r="CR113"/>
      <c r="CT113"/>
      <c r="CV113"/>
      <c r="CX113"/>
      <c r="CZ113"/>
      <c r="DB113"/>
      <c r="DD113"/>
      <c r="DF113"/>
      <c r="ED113" s="184"/>
      <c r="EF113" s="184"/>
      <c r="EH113" s="184"/>
      <c r="EJ113" s="184"/>
      <c r="EL113" s="184"/>
      <c r="EN113" s="184"/>
      <c r="EP113" s="184"/>
      <c r="ER113" s="184"/>
      <c r="ET113" s="184"/>
      <c r="EV113" s="184"/>
      <c r="EX113" s="184"/>
      <c r="EZ113" s="184"/>
      <c r="FB113" s="184"/>
    </row>
    <row r="114" spans="1:158">
      <c r="A114" s="184">
        <f t="shared" si="127"/>
        <v>-13</v>
      </c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>
        <f t="shared" si="170"/>
        <v>21937.500000000004</v>
      </c>
      <c r="Y114" s="18"/>
      <c r="Z114" s="18">
        <f t="shared" si="171"/>
        <v>17640</v>
      </c>
      <c r="AA114" s="18">
        <f t="shared" si="172"/>
        <v>22680</v>
      </c>
      <c r="AB114" s="18">
        <f t="shared" si="173"/>
        <v>25740</v>
      </c>
      <c r="AC114" s="18">
        <f t="shared" ref="AC114:AK114" si="182">VLOOKUP(AC84,non_table,7,FALSE)</f>
        <v>6438</v>
      </c>
      <c r="AD114" s="18">
        <f t="shared" si="182"/>
        <v>7739</v>
      </c>
      <c r="AE114" s="18">
        <f t="shared" si="182"/>
        <v>9928</v>
      </c>
      <c r="AF114" s="18">
        <f t="shared" si="182"/>
        <v>14580.000000000002</v>
      </c>
      <c r="AG114" s="18">
        <f t="shared" si="182"/>
        <v>14210</v>
      </c>
      <c r="AH114" s="18">
        <f t="shared" si="182"/>
        <v>7260</v>
      </c>
      <c r="AI114" s="18">
        <f t="shared" si="182"/>
        <v>8450</v>
      </c>
      <c r="AJ114" s="18">
        <f t="shared" si="182"/>
        <v>13860</v>
      </c>
      <c r="AK114" s="18">
        <f t="shared" si="182"/>
        <v>16170</v>
      </c>
      <c r="AL114" s="18">
        <f t="shared" si="175"/>
        <v>14080</v>
      </c>
      <c r="AM114" s="18">
        <f t="shared" si="176"/>
        <v>16000</v>
      </c>
      <c r="AN114" s="18">
        <f t="shared" si="177"/>
        <v>18304</v>
      </c>
      <c r="AO114" s="18">
        <f t="shared" si="178"/>
        <v>28800</v>
      </c>
      <c r="AP114" s="18">
        <f t="shared" si="179"/>
        <v>30720</v>
      </c>
      <c r="AQ114" s="18">
        <f t="shared" si="180"/>
        <v>34560</v>
      </c>
      <c r="AR114" s="18">
        <f t="shared" si="181"/>
        <v>94208</v>
      </c>
      <c r="AS114" s="18">
        <f t="shared" si="123"/>
        <v>45000</v>
      </c>
      <c r="AT114" s="184" t="str">
        <f t="shared" si="128"/>
        <v/>
      </c>
      <c r="AU114" s="184" t="str">
        <f t="shared" si="129"/>
        <v/>
      </c>
      <c r="AV114" s="184" t="str">
        <f t="shared" si="130"/>
        <v/>
      </c>
      <c r="AW114" s="184" t="str">
        <f t="shared" si="131"/>
        <v/>
      </c>
      <c r="AX114" s="184" t="str">
        <f t="shared" si="132"/>
        <v/>
      </c>
      <c r="AY114" s="184" t="str">
        <f t="shared" si="133"/>
        <v/>
      </c>
      <c r="AZ114" s="184" t="str">
        <f t="shared" si="134"/>
        <v/>
      </c>
      <c r="BA114" s="184" t="str">
        <f t="shared" si="135"/>
        <v/>
      </c>
      <c r="BB114" s="184" t="str">
        <f t="shared" si="136"/>
        <v/>
      </c>
      <c r="BC114" s="184" t="str">
        <f t="shared" si="137"/>
        <v/>
      </c>
      <c r="BD114" s="184" t="str">
        <f t="shared" si="138"/>
        <v/>
      </c>
      <c r="BE114" s="184" t="str">
        <f t="shared" si="139"/>
        <v/>
      </c>
      <c r="BF114" s="184" t="str">
        <f t="shared" si="140"/>
        <v/>
      </c>
      <c r="BG114" s="184" t="str">
        <f t="shared" si="141"/>
        <v/>
      </c>
      <c r="BH114" s="184" t="str">
        <f t="shared" si="142"/>
        <v/>
      </c>
      <c r="BI114" s="184" t="str">
        <f t="shared" si="143"/>
        <v/>
      </c>
      <c r="BJ114" s="184" t="str">
        <f t="shared" si="144"/>
        <v/>
      </c>
      <c r="BK114" s="184" t="str">
        <f t="shared" si="145"/>
        <v/>
      </c>
      <c r="BL114" s="184" t="str">
        <f t="shared" si="146"/>
        <v/>
      </c>
      <c r="BM114" s="184" t="str">
        <f t="shared" si="147"/>
        <v/>
      </c>
      <c r="BN114" s="184" t="str">
        <f t="shared" si="148"/>
        <v/>
      </c>
      <c r="BO114" s="184" t="str">
        <f t="shared" si="149"/>
        <v/>
      </c>
      <c r="BP114" s="184" t="str">
        <f t="shared" si="150"/>
        <v/>
      </c>
      <c r="BQ114" s="184" t="str">
        <f t="shared" si="151"/>
        <v/>
      </c>
      <c r="BR114" s="184" t="str">
        <f t="shared" si="169"/>
        <v/>
      </c>
      <c r="BS114" s="184" t="str">
        <f t="shared" si="169"/>
        <v/>
      </c>
      <c r="BT114" s="184" t="str">
        <f t="shared" si="169"/>
        <v/>
      </c>
      <c r="BU114" s="184" t="str">
        <f t="shared" si="153"/>
        <v/>
      </c>
      <c r="BV114" s="184" t="str">
        <f t="shared" si="154"/>
        <v/>
      </c>
      <c r="BW114" s="184" t="str">
        <f t="shared" si="155"/>
        <v/>
      </c>
      <c r="BX114" s="184" t="str">
        <f t="shared" si="156"/>
        <v/>
      </c>
      <c r="BY114" s="184" t="str">
        <f t="shared" si="157"/>
        <v/>
      </c>
      <c r="BZ114" s="184" t="str">
        <f t="shared" si="158"/>
        <v/>
      </c>
      <c r="CA114" s="184" t="str">
        <f t="shared" si="159"/>
        <v/>
      </c>
      <c r="CB114" s="184" t="str">
        <f t="shared" si="160"/>
        <v/>
      </c>
      <c r="CC114" s="184" t="str">
        <f t="shared" si="161"/>
        <v/>
      </c>
      <c r="CD114" s="184" t="str">
        <f t="shared" si="162"/>
        <v/>
      </c>
      <c r="CE114" s="184" t="str">
        <f t="shared" si="163"/>
        <v/>
      </c>
      <c r="CF114" s="184" t="str">
        <f t="shared" si="164"/>
        <v/>
      </c>
      <c r="CG114" s="184" t="str">
        <f t="shared" si="165"/>
        <v/>
      </c>
      <c r="CH114" s="184" t="str">
        <f t="shared" si="166"/>
        <v/>
      </c>
      <c r="CI114" s="184" t="str">
        <f t="shared" si="167"/>
        <v/>
      </c>
      <c r="CJ114" s="184" t="str">
        <f t="shared" si="168"/>
        <v/>
      </c>
      <c r="CK114" s="184"/>
      <c r="CM114" s="184"/>
      <c r="CN114"/>
      <c r="CP114"/>
      <c r="CR114"/>
      <c r="CT114"/>
      <c r="CV114"/>
      <c r="CX114"/>
      <c r="CZ114"/>
      <c r="DB114"/>
      <c r="DD114"/>
      <c r="DF114"/>
      <c r="ED114" s="184"/>
      <c r="EF114" s="184"/>
      <c r="EH114" s="184"/>
      <c r="EJ114" s="184"/>
      <c r="EL114" s="184"/>
      <c r="EN114" s="184"/>
      <c r="EP114" s="184"/>
      <c r="ER114" s="184"/>
      <c r="ET114" s="184"/>
      <c r="EV114" s="184"/>
      <c r="EX114" s="184"/>
      <c r="EZ114" s="184"/>
      <c r="FB114" s="184"/>
    </row>
    <row r="115" spans="1:158">
      <c r="A115" s="184">
        <f t="shared" si="127"/>
        <v>-12.5</v>
      </c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>
        <f t="shared" si="170"/>
        <v>22168.125000000004</v>
      </c>
      <c r="Y115" s="18"/>
      <c r="Z115" s="18">
        <f t="shared" si="171"/>
        <v>17850</v>
      </c>
      <c r="AA115" s="18">
        <f t="shared" si="172"/>
        <v>22950</v>
      </c>
      <c r="AB115" s="18">
        <f t="shared" si="173"/>
        <v>26125</v>
      </c>
      <c r="AC115" s="18">
        <f t="shared" ref="AC115:AC130" si="183">AC116-($AC$132-$AC$114)/18</f>
        <v>6505.6666666666615</v>
      </c>
      <c r="AD115" s="18">
        <f t="shared" ref="AD115:AD131" si="184">AD116-($AC$132-$AC$114)/18</f>
        <v>8223.666666666677</v>
      </c>
      <c r="AE115" s="18">
        <f t="shared" ref="AE115:AE131" si="185">AE116-($AC$132-$AC$114)/18</f>
        <v>10545.666666666677</v>
      </c>
      <c r="AF115" s="18">
        <f t="shared" ref="AF115:AF131" si="186">AF116-($AC$132-$AC$114)/18</f>
        <v>15049.666666666677</v>
      </c>
      <c r="AG115" s="18">
        <f t="shared" ref="AG115:AG131" si="187">AG116-($AC$132-$AC$114)/18</f>
        <v>16104.666666666655</v>
      </c>
      <c r="AH115" s="18">
        <f t="shared" ref="AH115:AH131" si="188">AH116-($AC$132-$AC$114)/18</f>
        <v>7979.6666666666733</v>
      </c>
      <c r="AI115" s="18">
        <f t="shared" ref="AI115:AI131" si="189">AI116-($AC$132-$AC$114)/18</f>
        <v>9639.666666666677</v>
      </c>
      <c r="AJ115" s="18">
        <f t="shared" ref="AJ115:AJ131" si="190">AJ116-($AC$132-$AC$114)/18</f>
        <v>14689.666666666677</v>
      </c>
      <c r="AK115" s="18">
        <f t="shared" ref="AK115:AK131" si="191">AK116-($AC$132-$AC$114)/18</f>
        <v>17329.666666666646</v>
      </c>
      <c r="AL115" s="18">
        <f t="shared" si="175"/>
        <v>14300</v>
      </c>
      <c r="AM115" s="18">
        <f t="shared" si="176"/>
        <v>16250</v>
      </c>
      <c r="AN115" s="18">
        <f t="shared" si="177"/>
        <v>18590</v>
      </c>
      <c r="AO115" s="18">
        <f t="shared" si="178"/>
        <v>29250</v>
      </c>
      <c r="AP115" s="18">
        <f t="shared" si="179"/>
        <v>31200</v>
      </c>
      <c r="AQ115" s="18">
        <f t="shared" si="180"/>
        <v>35100</v>
      </c>
      <c r="AR115" s="18">
        <f t="shared" si="181"/>
        <v>95680</v>
      </c>
      <c r="AS115" s="18">
        <f t="shared" si="123"/>
        <v>45000</v>
      </c>
      <c r="AT115" s="184" t="str">
        <f t="shared" si="128"/>
        <v/>
      </c>
      <c r="AU115" s="184" t="str">
        <f t="shared" si="129"/>
        <v/>
      </c>
      <c r="AV115" s="184" t="str">
        <f t="shared" si="130"/>
        <v/>
      </c>
      <c r="AW115" s="184" t="str">
        <f t="shared" si="131"/>
        <v/>
      </c>
      <c r="AX115" s="184" t="str">
        <f t="shared" si="132"/>
        <v/>
      </c>
      <c r="AY115" s="184" t="str">
        <f t="shared" si="133"/>
        <v/>
      </c>
      <c r="AZ115" s="184" t="str">
        <f t="shared" si="134"/>
        <v/>
      </c>
      <c r="BA115" s="184" t="str">
        <f t="shared" si="135"/>
        <v/>
      </c>
      <c r="BB115" s="184" t="str">
        <f t="shared" si="136"/>
        <v/>
      </c>
      <c r="BC115" s="184" t="str">
        <f t="shared" si="137"/>
        <v/>
      </c>
      <c r="BD115" s="184" t="str">
        <f t="shared" si="138"/>
        <v/>
      </c>
      <c r="BE115" s="184" t="str">
        <f t="shared" si="139"/>
        <v/>
      </c>
      <c r="BF115" s="184" t="str">
        <f t="shared" si="140"/>
        <v/>
      </c>
      <c r="BG115" s="184" t="str">
        <f t="shared" si="141"/>
        <v/>
      </c>
      <c r="BH115" s="184" t="str">
        <f t="shared" si="142"/>
        <v/>
      </c>
      <c r="BI115" s="184" t="str">
        <f t="shared" si="143"/>
        <v/>
      </c>
      <c r="BJ115" s="184" t="str">
        <f t="shared" si="144"/>
        <v/>
      </c>
      <c r="BK115" s="184" t="str">
        <f t="shared" si="145"/>
        <v/>
      </c>
      <c r="BL115" s="184" t="str">
        <f t="shared" si="146"/>
        <v/>
      </c>
      <c r="BM115" s="184" t="str">
        <f t="shared" si="147"/>
        <v/>
      </c>
      <c r="BN115" s="184" t="str">
        <f t="shared" si="148"/>
        <v/>
      </c>
      <c r="BO115" s="184" t="str">
        <f t="shared" si="149"/>
        <v/>
      </c>
      <c r="BP115" s="184" t="str">
        <f t="shared" si="150"/>
        <v/>
      </c>
      <c r="BQ115" s="184" t="str">
        <f t="shared" si="151"/>
        <v/>
      </c>
      <c r="BR115" s="184" t="str">
        <f t="shared" si="169"/>
        <v/>
      </c>
      <c r="BS115" s="184" t="str">
        <f t="shared" si="169"/>
        <v/>
      </c>
      <c r="BT115" s="184" t="str">
        <f t="shared" si="169"/>
        <v/>
      </c>
      <c r="BU115" s="184" t="str">
        <f t="shared" si="153"/>
        <v/>
      </c>
      <c r="BV115" s="184" t="str">
        <f t="shared" si="154"/>
        <v/>
      </c>
      <c r="BW115" s="184" t="str">
        <f t="shared" si="155"/>
        <v/>
      </c>
      <c r="BX115" s="184" t="str">
        <f t="shared" si="156"/>
        <v/>
      </c>
      <c r="BY115" s="184" t="str">
        <f t="shared" si="157"/>
        <v/>
      </c>
      <c r="BZ115" s="184" t="str">
        <f t="shared" si="158"/>
        <v/>
      </c>
      <c r="CA115" s="184" t="str">
        <f t="shared" si="159"/>
        <v/>
      </c>
      <c r="CB115" s="184" t="str">
        <f t="shared" si="160"/>
        <v/>
      </c>
      <c r="CC115" s="184" t="str">
        <f t="shared" si="161"/>
        <v/>
      </c>
      <c r="CD115" s="184" t="str">
        <f t="shared" si="162"/>
        <v/>
      </c>
      <c r="CE115" s="184" t="str">
        <f t="shared" si="163"/>
        <v/>
      </c>
      <c r="CF115" s="184" t="str">
        <f t="shared" si="164"/>
        <v/>
      </c>
      <c r="CG115" s="184" t="str">
        <f t="shared" si="165"/>
        <v/>
      </c>
      <c r="CH115" s="184" t="str">
        <f t="shared" si="166"/>
        <v/>
      </c>
      <c r="CI115" s="184" t="str">
        <f t="shared" si="167"/>
        <v/>
      </c>
      <c r="CJ115" s="184" t="str">
        <f t="shared" si="168"/>
        <v/>
      </c>
      <c r="CK115" s="184"/>
      <c r="CM115" s="184"/>
      <c r="CN115"/>
      <c r="CP115"/>
      <c r="CR115"/>
      <c r="CT115"/>
      <c r="CV115"/>
      <c r="CX115"/>
      <c r="CZ115"/>
      <c r="DB115"/>
      <c r="DD115"/>
      <c r="DF115"/>
      <c r="ED115" s="184"/>
      <c r="EF115" s="184"/>
      <c r="EH115" s="184"/>
      <c r="EJ115" s="184"/>
      <c r="EL115" s="184"/>
      <c r="EN115" s="184"/>
      <c r="EP115" s="184"/>
      <c r="ER115" s="184"/>
      <c r="ET115" s="184"/>
      <c r="EV115" s="184"/>
      <c r="EX115" s="184"/>
      <c r="EZ115" s="184"/>
      <c r="FB115" s="184"/>
    </row>
    <row r="116" spans="1:158">
      <c r="A116" s="184">
        <f t="shared" si="127"/>
        <v>-12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>
        <f t="shared" si="170"/>
        <v>22398.750000000004</v>
      </c>
      <c r="Y116" s="18"/>
      <c r="Z116" s="18">
        <f t="shared" si="171"/>
        <v>18060</v>
      </c>
      <c r="AA116" s="18">
        <f t="shared" si="172"/>
        <v>23220</v>
      </c>
      <c r="AB116" s="18">
        <f t="shared" si="173"/>
        <v>26510</v>
      </c>
      <c r="AC116" s="18">
        <f t="shared" si="183"/>
        <v>6573.3333333333285</v>
      </c>
      <c r="AD116" s="18">
        <f t="shared" si="184"/>
        <v>8291.333333333343</v>
      </c>
      <c r="AE116" s="18">
        <f t="shared" si="185"/>
        <v>10613.333333333343</v>
      </c>
      <c r="AF116" s="18">
        <f t="shared" si="186"/>
        <v>15117.333333333343</v>
      </c>
      <c r="AG116" s="18">
        <f t="shared" si="187"/>
        <v>16172.333333333321</v>
      </c>
      <c r="AH116" s="18">
        <f t="shared" si="188"/>
        <v>8047.3333333333403</v>
      </c>
      <c r="AI116" s="18">
        <f t="shared" si="189"/>
        <v>9707.333333333343</v>
      </c>
      <c r="AJ116" s="18">
        <f t="shared" si="190"/>
        <v>14757.333333333343</v>
      </c>
      <c r="AK116" s="18">
        <f t="shared" si="191"/>
        <v>17397.333333333314</v>
      </c>
      <c r="AL116" s="18">
        <f t="shared" si="175"/>
        <v>14520</v>
      </c>
      <c r="AM116" s="18">
        <f t="shared" si="176"/>
        <v>16500</v>
      </c>
      <c r="AN116" s="18">
        <f t="shared" si="177"/>
        <v>18876</v>
      </c>
      <c r="AO116" s="18">
        <f t="shared" si="178"/>
        <v>29700</v>
      </c>
      <c r="AP116" s="18">
        <f t="shared" si="179"/>
        <v>31680</v>
      </c>
      <c r="AQ116" s="18">
        <f t="shared" si="180"/>
        <v>35640</v>
      </c>
      <c r="AR116" s="18">
        <f t="shared" si="181"/>
        <v>97152</v>
      </c>
      <c r="AS116" s="18">
        <f t="shared" si="123"/>
        <v>45000</v>
      </c>
      <c r="AT116" s="184" t="str">
        <f t="shared" si="128"/>
        <v/>
      </c>
      <c r="AU116" s="184" t="str">
        <f t="shared" si="129"/>
        <v/>
      </c>
      <c r="AV116" s="184" t="str">
        <f t="shared" si="130"/>
        <v/>
      </c>
      <c r="AW116" s="184" t="str">
        <f t="shared" si="131"/>
        <v/>
      </c>
      <c r="AX116" s="184" t="str">
        <f t="shared" si="132"/>
        <v/>
      </c>
      <c r="AY116" s="184" t="str">
        <f t="shared" si="133"/>
        <v/>
      </c>
      <c r="AZ116" s="184" t="str">
        <f t="shared" si="134"/>
        <v/>
      </c>
      <c r="BA116" s="184" t="str">
        <f t="shared" si="135"/>
        <v/>
      </c>
      <c r="BB116" s="184" t="str">
        <f t="shared" si="136"/>
        <v/>
      </c>
      <c r="BC116" s="184" t="str">
        <f t="shared" si="137"/>
        <v/>
      </c>
      <c r="BD116" s="184" t="str">
        <f t="shared" si="138"/>
        <v/>
      </c>
      <c r="BE116" s="184" t="str">
        <f t="shared" si="139"/>
        <v/>
      </c>
      <c r="BF116" s="184" t="str">
        <f t="shared" si="140"/>
        <v/>
      </c>
      <c r="BG116" s="184" t="str">
        <f t="shared" si="141"/>
        <v/>
      </c>
      <c r="BH116" s="184" t="str">
        <f t="shared" si="142"/>
        <v/>
      </c>
      <c r="BI116" s="184" t="str">
        <f t="shared" si="143"/>
        <v/>
      </c>
      <c r="BJ116" s="184" t="str">
        <f t="shared" si="144"/>
        <v/>
      </c>
      <c r="BK116" s="184" t="str">
        <f t="shared" si="145"/>
        <v/>
      </c>
      <c r="BL116" s="184" t="str">
        <f t="shared" si="146"/>
        <v/>
      </c>
      <c r="BM116" s="184" t="str">
        <f t="shared" si="147"/>
        <v/>
      </c>
      <c r="BN116" s="184" t="str">
        <f t="shared" si="148"/>
        <v/>
      </c>
      <c r="BO116" s="184" t="str">
        <f t="shared" si="149"/>
        <v/>
      </c>
      <c r="BP116" s="184" t="str">
        <f t="shared" si="150"/>
        <v/>
      </c>
      <c r="BQ116" s="184" t="str">
        <f t="shared" si="151"/>
        <v/>
      </c>
      <c r="BR116" s="184" t="str">
        <f t="shared" si="169"/>
        <v/>
      </c>
      <c r="BS116" s="184" t="str">
        <f t="shared" si="169"/>
        <v/>
      </c>
      <c r="BT116" s="184" t="str">
        <f t="shared" si="169"/>
        <v/>
      </c>
      <c r="BU116" s="184" t="str">
        <f t="shared" si="153"/>
        <v/>
      </c>
      <c r="BV116" s="184" t="str">
        <f t="shared" si="154"/>
        <v/>
      </c>
      <c r="BW116" s="184" t="str">
        <f t="shared" si="155"/>
        <v/>
      </c>
      <c r="BX116" s="184" t="str">
        <f t="shared" si="156"/>
        <v/>
      </c>
      <c r="BY116" s="184" t="str">
        <f t="shared" si="157"/>
        <v/>
      </c>
      <c r="BZ116" s="184" t="str">
        <f t="shared" si="158"/>
        <v/>
      </c>
      <c r="CA116" s="184" t="str">
        <f t="shared" si="159"/>
        <v/>
      </c>
      <c r="CB116" s="184" t="str">
        <f t="shared" si="160"/>
        <v/>
      </c>
      <c r="CC116" s="184" t="str">
        <f t="shared" si="161"/>
        <v/>
      </c>
      <c r="CD116" s="184" t="str">
        <f t="shared" si="162"/>
        <v/>
      </c>
      <c r="CE116" s="184" t="str">
        <f t="shared" si="163"/>
        <v/>
      </c>
      <c r="CF116" s="184" t="str">
        <f t="shared" si="164"/>
        <v/>
      </c>
      <c r="CG116" s="184" t="str">
        <f t="shared" si="165"/>
        <v/>
      </c>
      <c r="CH116" s="184" t="str">
        <f t="shared" si="166"/>
        <v/>
      </c>
      <c r="CI116" s="184" t="str">
        <f t="shared" si="167"/>
        <v/>
      </c>
      <c r="CJ116" s="184" t="str">
        <f t="shared" si="168"/>
        <v/>
      </c>
      <c r="CK116" s="184"/>
      <c r="CM116" s="184"/>
      <c r="CN116"/>
      <c r="CP116"/>
      <c r="CR116"/>
      <c r="CT116"/>
      <c r="CV116"/>
      <c r="CX116"/>
      <c r="CZ116"/>
      <c r="DB116"/>
      <c r="DD116"/>
      <c r="DF116"/>
      <c r="ED116" s="184"/>
      <c r="EF116" s="184"/>
      <c r="EH116" s="184"/>
      <c r="EJ116" s="184"/>
      <c r="EL116" s="184"/>
      <c r="EN116" s="184"/>
      <c r="EP116" s="184"/>
      <c r="ER116" s="184"/>
      <c r="ET116" s="184"/>
      <c r="EV116" s="184"/>
      <c r="EX116" s="184"/>
      <c r="EZ116" s="184"/>
      <c r="FB116" s="184"/>
    </row>
    <row r="117" spans="1:158">
      <c r="A117" s="184">
        <f t="shared" si="127"/>
        <v>-11.5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>
        <f t="shared" si="170"/>
        <v>22629.375000000004</v>
      </c>
      <c r="Y117" s="18"/>
      <c r="Z117" s="18">
        <f t="shared" si="171"/>
        <v>18270</v>
      </c>
      <c r="AA117" s="18">
        <f t="shared" si="172"/>
        <v>23490</v>
      </c>
      <c r="AB117" s="18">
        <f t="shared" si="173"/>
        <v>26895</v>
      </c>
      <c r="AC117" s="18">
        <f t="shared" si="183"/>
        <v>6640.9999999999955</v>
      </c>
      <c r="AD117" s="18">
        <f t="shared" si="184"/>
        <v>8359.0000000000091</v>
      </c>
      <c r="AE117" s="18">
        <f t="shared" si="185"/>
        <v>10681.000000000009</v>
      </c>
      <c r="AF117" s="18">
        <f t="shared" si="186"/>
        <v>15185.000000000009</v>
      </c>
      <c r="AG117" s="18">
        <f t="shared" si="187"/>
        <v>16239.999999999987</v>
      </c>
      <c r="AH117" s="18">
        <f t="shared" si="188"/>
        <v>8115.0000000000073</v>
      </c>
      <c r="AI117" s="18">
        <f t="shared" si="189"/>
        <v>9775.0000000000091</v>
      </c>
      <c r="AJ117" s="18">
        <f t="shared" si="190"/>
        <v>14825.000000000009</v>
      </c>
      <c r="AK117" s="18">
        <f t="shared" si="191"/>
        <v>17464.999999999982</v>
      </c>
      <c r="AL117" s="18">
        <f t="shared" si="175"/>
        <v>14740</v>
      </c>
      <c r="AM117" s="18">
        <f t="shared" si="176"/>
        <v>16750</v>
      </c>
      <c r="AN117" s="18">
        <f t="shared" si="177"/>
        <v>19162</v>
      </c>
      <c r="AO117" s="18">
        <f t="shared" si="178"/>
        <v>30150</v>
      </c>
      <c r="AP117" s="18">
        <f t="shared" si="179"/>
        <v>32160</v>
      </c>
      <c r="AQ117" s="18">
        <f t="shared" si="180"/>
        <v>36180</v>
      </c>
      <c r="AR117" s="18">
        <f t="shared" si="181"/>
        <v>98624</v>
      </c>
      <c r="AS117" s="18">
        <f t="shared" ref="AS117:AS148" si="192">IF(($D$49-A117)&lt;5,0,IF(($D$49-A117)&gt;=($D$49-$C$49),1,MAX(0,MIN(1,(($D$49-8)-A117)/($D$49-($C$49-5))))))*heat_load</f>
        <v>45000</v>
      </c>
      <c r="AT117" s="184" t="str">
        <f t="shared" si="128"/>
        <v/>
      </c>
      <c r="AU117" s="184" t="str">
        <f t="shared" si="129"/>
        <v/>
      </c>
      <c r="AV117" s="184" t="str">
        <f t="shared" si="130"/>
        <v/>
      </c>
      <c r="AW117" s="184" t="str">
        <f t="shared" si="131"/>
        <v/>
      </c>
      <c r="AX117" s="184" t="str">
        <f t="shared" si="132"/>
        <v/>
      </c>
      <c r="AY117" s="184" t="str">
        <f t="shared" si="133"/>
        <v/>
      </c>
      <c r="AZ117" s="184" t="str">
        <f t="shared" si="134"/>
        <v/>
      </c>
      <c r="BA117" s="184" t="str">
        <f t="shared" si="135"/>
        <v/>
      </c>
      <c r="BB117" s="184" t="str">
        <f t="shared" si="136"/>
        <v/>
      </c>
      <c r="BC117" s="184" t="str">
        <f t="shared" si="137"/>
        <v/>
      </c>
      <c r="BD117" s="184" t="str">
        <f t="shared" si="138"/>
        <v/>
      </c>
      <c r="BE117" s="184" t="str">
        <f t="shared" si="139"/>
        <v/>
      </c>
      <c r="BF117" s="184" t="str">
        <f t="shared" si="140"/>
        <v/>
      </c>
      <c r="BG117" s="184" t="str">
        <f t="shared" si="141"/>
        <v/>
      </c>
      <c r="BH117" s="184" t="str">
        <f t="shared" si="142"/>
        <v/>
      </c>
      <c r="BI117" s="184" t="str">
        <f t="shared" si="143"/>
        <v/>
      </c>
      <c r="BJ117" s="184" t="str">
        <f t="shared" si="144"/>
        <v/>
      </c>
      <c r="BK117" s="184" t="str">
        <f t="shared" si="145"/>
        <v/>
      </c>
      <c r="BL117" s="184" t="str">
        <f t="shared" si="146"/>
        <v/>
      </c>
      <c r="BM117" s="184" t="str">
        <f t="shared" si="147"/>
        <v/>
      </c>
      <c r="BN117" s="184" t="str">
        <f t="shared" si="148"/>
        <v/>
      </c>
      <c r="BO117" s="184" t="str">
        <f t="shared" si="149"/>
        <v/>
      </c>
      <c r="BP117" s="184" t="str">
        <f t="shared" si="150"/>
        <v/>
      </c>
      <c r="BQ117" s="184" t="str">
        <f t="shared" si="151"/>
        <v/>
      </c>
      <c r="BR117" s="184" t="str">
        <f t="shared" si="169"/>
        <v/>
      </c>
      <c r="BS117" s="184" t="str">
        <f t="shared" si="169"/>
        <v/>
      </c>
      <c r="BT117" s="184" t="str">
        <f t="shared" si="169"/>
        <v/>
      </c>
      <c r="BU117" s="184" t="str">
        <f t="shared" si="153"/>
        <v/>
      </c>
      <c r="BV117" s="184" t="str">
        <f t="shared" si="154"/>
        <v/>
      </c>
      <c r="BW117" s="184" t="str">
        <f t="shared" si="155"/>
        <v/>
      </c>
      <c r="BX117" s="184" t="str">
        <f t="shared" si="156"/>
        <v/>
      </c>
      <c r="BY117" s="184" t="str">
        <f t="shared" si="157"/>
        <v/>
      </c>
      <c r="BZ117" s="184" t="str">
        <f t="shared" si="158"/>
        <v/>
      </c>
      <c r="CA117" s="184" t="str">
        <f t="shared" si="159"/>
        <v/>
      </c>
      <c r="CB117" s="184" t="str">
        <f t="shared" si="160"/>
        <v/>
      </c>
      <c r="CC117" s="184" t="str">
        <f t="shared" si="161"/>
        <v/>
      </c>
      <c r="CD117" s="184" t="str">
        <f t="shared" si="162"/>
        <v/>
      </c>
      <c r="CE117" s="184" t="str">
        <f t="shared" si="163"/>
        <v/>
      </c>
      <c r="CF117" s="184" t="str">
        <f t="shared" si="164"/>
        <v/>
      </c>
      <c r="CG117" s="184" t="str">
        <f t="shared" si="165"/>
        <v/>
      </c>
      <c r="CH117" s="184" t="str">
        <f t="shared" si="166"/>
        <v/>
      </c>
      <c r="CI117" s="184" t="str">
        <f t="shared" si="167"/>
        <v/>
      </c>
      <c r="CJ117" s="184" t="str">
        <f t="shared" si="168"/>
        <v/>
      </c>
      <c r="CK117" s="184"/>
      <c r="CM117" s="184"/>
      <c r="CN117"/>
      <c r="CP117"/>
      <c r="CR117"/>
      <c r="CT117"/>
      <c r="CV117"/>
      <c r="CX117"/>
      <c r="CZ117"/>
      <c r="DB117"/>
      <c r="DD117"/>
      <c r="DF117"/>
      <c r="ED117" s="184"/>
      <c r="EF117" s="184"/>
      <c r="EH117" s="184"/>
      <c r="EJ117" s="184"/>
      <c r="EL117" s="184"/>
      <c r="EN117" s="184"/>
      <c r="EP117" s="184"/>
      <c r="ER117" s="184"/>
      <c r="ET117" s="184"/>
      <c r="EV117" s="184"/>
      <c r="EX117" s="184"/>
      <c r="EZ117" s="184"/>
      <c r="FB117" s="184"/>
    </row>
    <row r="118" spans="1:158">
      <c r="A118" s="184">
        <f t="shared" ref="A118:A149" si="193">A117+0.5</f>
        <v>-11</v>
      </c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>
        <f t="shared" si="170"/>
        <v>22860.000000000004</v>
      </c>
      <c r="Y118" s="18"/>
      <c r="Z118" s="18">
        <f t="shared" si="171"/>
        <v>18480</v>
      </c>
      <c r="AA118" s="18">
        <f t="shared" si="172"/>
        <v>23760</v>
      </c>
      <c r="AB118" s="18">
        <f t="shared" si="173"/>
        <v>27280</v>
      </c>
      <c r="AC118" s="18">
        <f t="shared" si="183"/>
        <v>6708.6666666666624</v>
      </c>
      <c r="AD118" s="18">
        <f t="shared" si="184"/>
        <v>8426.6666666666752</v>
      </c>
      <c r="AE118" s="18">
        <f t="shared" si="185"/>
        <v>10748.666666666675</v>
      </c>
      <c r="AF118" s="18">
        <f t="shared" si="186"/>
        <v>15252.666666666675</v>
      </c>
      <c r="AG118" s="18">
        <f t="shared" si="187"/>
        <v>16307.666666666653</v>
      </c>
      <c r="AH118" s="18">
        <f t="shared" si="188"/>
        <v>8182.6666666666742</v>
      </c>
      <c r="AI118" s="18">
        <f t="shared" si="189"/>
        <v>9842.6666666666752</v>
      </c>
      <c r="AJ118" s="18">
        <f t="shared" si="190"/>
        <v>14892.666666666675</v>
      </c>
      <c r="AK118" s="18">
        <f t="shared" si="191"/>
        <v>17532.66666666665</v>
      </c>
      <c r="AL118" s="18">
        <f t="shared" si="175"/>
        <v>14960</v>
      </c>
      <c r="AM118" s="18">
        <f t="shared" si="176"/>
        <v>17000</v>
      </c>
      <c r="AN118" s="18">
        <f t="shared" si="177"/>
        <v>19448</v>
      </c>
      <c r="AO118" s="18">
        <f t="shared" si="178"/>
        <v>30600</v>
      </c>
      <c r="AP118" s="18">
        <f t="shared" si="179"/>
        <v>32640</v>
      </c>
      <c r="AQ118" s="18">
        <f t="shared" si="180"/>
        <v>36720</v>
      </c>
      <c r="AR118" s="18">
        <f t="shared" si="181"/>
        <v>100096</v>
      </c>
      <c r="AS118" s="18">
        <f t="shared" si="192"/>
        <v>45000</v>
      </c>
      <c r="AT118" s="184" t="str">
        <f t="shared" ref="AT118:AT149" si="194">IF(AND(B118&gt;=$AS118,B117&lt;$AS117),1,"")</f>
        <v/>
      </c>
      <c r="AU118" s="184" t="str">
        <f t="shared" ref="AU118:AU149" si="195">IF(AND(C118&gt;=$AS118,C117&lt;$AS117),1,"")</f>
        <v/>
      </c>
      <c r="AV118" s="184" t="str">
        <f t="shared" ref="AV118:AV149" si="196">IF(AND(D118&gt;=$AS118,D117&lt;$AS117),1,"")</f>
        <v/>
      </c>
      <c r="AW118" s="184" t="str">
        <f t="shared" ref="AW118:AW149" si="197">IF(AND(E118&gt;=$AS118,E117&lt;$AS117),1,"")</f>
        <v/>
      </c>
      <c r="AX118" s="184" t="str">
        <f t="shared" ref="AX118:AX149" si="198">IF(AND(F118&gt;=$AS118,F117&lt;$AS117),1,"")</f>
        <v/>
      </c>
      <c r="AY118" s="184" t="str">
        <f t="shared" ref="AY118:AY149" si="199">IF(AND(G118&gt;=$AS118,G117&lt;$AS117),1,"")</f>
        <v/>
      </c>
      <c r="AZ118" s="184" t="str">
        <f t="shared" ref="AZ118:AZ149" si="200">IF(AND(H118&gt;=$AS118,H117&lt;$AS117),1,"")</f>
        <v/>
      </c>
      <c r="BA118" s="184" t="str">
        <f t="shared" ref="BA118:BA149" si="201">IF(AND(I118&gt;=$AS118,I117&lt;$AS117),1,"")</f>
        <v/>
      </c>
      <c r="BB118" s="184" t="str">
        <f t="shared" ref="BB118:BB149" si="202">IF(AND(J118&gt;=$AS118,J117&lt;$AS117),1,"")</f>
        <v/>
      </c>
      <c r="BC118" s="184" t="str">
        <f t="shared" ref="BC118:BC149" si="203">IF(AND(K118&gt;=$AS118,K117&lt;$AS117),1,"")</f>
        <v/>
      </c>
      <c r="BD118" s="184" t="str">
        <f t="shared" ref="BD118:BD149" si="204">IF(AND(L118&gt;=$AS118,L117&lt;$AS117),1,"")</f>
        <v/>
      </c>
      <c r="BE118" s="184" t="str">
        <f t="shared" ref="BE118:BE149" si="205">IF(AND(M118&gt;=$AS118,M117&lt;$AS117),1,"")</f>
        <v/>
      </c>
      <c r="BF118" s="184" t="str">
        <f t="shared" ref="BF118:BF149" si="206">IF(AND(N118&gt;=$AS118,N117&lt;$AS117),1,"")</f>
        <v/>
      </c>
      <c r="BG118" s="184" t="str">
        <f t="shared" ref="BG118:BG149" si="207">IF(AND(O118&gt;=$AS118,O117&lt;$AS117),1,"")</f>
        <v/>
      </c>
      <c r="BH118" s="184" t="str">
        <f t="shared" ref="BH118:BH149" si="208">IF(AND(P118&gt;=$AS118,P117&lt;$AS117),1,"")</f>
        <v/>
      </c>
      <c r="BI118" s="184" t="str">
        <f t="shared" ref="BI118:BI149" si="209">IF(AND(Q118&gt;=$AS118,Q117&lt;$AS117),1,"")</f>
        <v/>
      </c>
      <c r="BJ118" s="184" t="str">
        <f t="shared" ref="BJ118:BJ149" si="210">IF(AND(R118&gt;=$AS118,R117&lt;$AS117),1,"")</f>
        <v/>
      </c>
      <c r="BK118" s="184" t="str">
        <f t="shared" ref="BK118:BK149" si="211">IF(AND(S118&gt;=$AS118,S117&lt;$AS117),1,"")</f>
        <v/>
      </c>
      <c r="BL118" s="184" t="str">
        <f t="shared" ref="BL118:BL149" si="212">IF(AND(T118&gt;=$AS118,T117&lt;$AS117),1,"")</f>
        <v/>
      </c>
      <c r="BM118" s="184" t="str">
        <f t="shared" ref="BM118:BM149" si="213">IF(AND(U118&gt;=$AS118,U117&lt;$AS117),1,"")</f>
        <v/>
      </c>
      <c r="BN118" s="184" t="str">
        <f t="shared" ref="BN118:BN149" si="214">IF(AND(V118&gt;=$AS118,V117&lt;$AS117),1,"")</f>
        <v/>
      </c>
      <c r="BO118" s="184" t="str">
        <f t="shared" ref="BO118:BO149" si="215">IF(AND(W118&gt;=$AS118,W117&lt;$AS117),1,"")</f>
        <v/>
      </c>
      <c r="BP118" s="184" t="str">
        <f t="shared" ref="BP118:BP149" si="216">IF(AND(X118&gt;=$AS118,X117&lt;$AS117),1,"")</f>
        <v/>
      </c>
      <c r="BQ118" s="184" t="str">
        <f t="shared" ref="BQ118:BQ149" si="217">IF(AND(Y118&gt;=$AS118,Y117&lt;$AS117),1,"")</f>
        <v/>
      </c>
      <c r="BR118" s="184" t="str">
        <f t="shared" ref="BR118:BT133" si="218">IF(AND(Z118&gt;=$AS118,Z117&lt;$AS117),1,"")</f>
        <v/>
      </c>
      <c r="BS118" s="184" t="str">
        <f t="shared" si="218"/>
        <v/>
      </c>
      <c r="BT118" s="184" t="str">
        <f t="shared" si="218"/>
        <v/>
      </c>
      <c r="BU118" s="184" t="str">
        <f t="shared" ref="BU118:BU149" si="219">IF(AND(AC118&gt;=$AS118,AC117&lt;$AS117),1,"")</f>
        <v/>
      </c>
      <c r="BV118" s="184" t="str">
        <f t="shared" ref="BV118:BV149" si="220">IF(AND(AD118&gt;=$AS118,AD117&lt;$AS117),1,"")</f>
        <v/>
      </c>
      <c r="BW118" s="184" t="str">
        <f t="shared" ref="BW118:BW149" si="221">IF(AND(AE118&gt;=$AS118,AE117&lt;$AS117),1,"")</f>
        <v/>
      </c>
      <c r="BX118" s="184" t="str">
        <f t="shared" ref="BX118:BX149" si="222">IF(AND(AF118&gt;=$AS118,AF117&lt;$AS117),1,"")</f>
        <v/>
      </c>
      <c r="BY118" s="184" t="str">
        <f t="shared" ref="BY118:BY149" si="223">IF(AND(AG118&gt;=$AS118,AG117&lt;$AS117),1,"")</f>
        <v/>
      </c>
      <c r="BZ118" s="184" t="str">
        <f t="shared" ref="BZ118:BZ149" si="224">IF(AND(AH118&gt;=$AS118,AH117&lt;$AS117),1,"")</f>
        <v/>
      </c>
      <c r="CA118" s="184" t="str">
        <f t="shared" ref="CA118:CA149" si="225">IF(AND(AI118&gt;=$AS118,AI117&lt;$AS117),1,"")</f>
        <v/>
      </c>
      <c r="CB118" s="184" t="str">
        <f t="shared" ref="CB118:CB149" si="226">IF(AND(AJ118&gt;=$AS118,AJ117&lt;$AS117),1,"")</f>
        <v/>
      </c>
      <c r="CC118" s="184" t="str">
        <f t="shared" ref="CC118:CC149" si="227">IF(AND(AK118&gt;=$AS118,AK117&lt;$AS117),1,"")</f>
        <v/>
      </c>
      <c r="CD118" s="184" t="str">
        <f t="shared" ref="CD118:CD149" si="228">IF(AND(AL118&gt;=$AS118,AL117&lt;$AS117),1,"")</f>
        <v/>
      </c>
      <c r="CE118" s="184" t="str">
        <f t="shared" ref="CE118:CE149" si="229">IF(AND(AM118&gt;=$AS118,AM117&lt;$AS117),1,"")</f>
        <v/>
      </c>
      <c r="CF118" s="184" t="str">
        <f t="shared" ref="CF118:CF149" si="230">IF(AND(AN118&gt;=$AS118,AN117&lt;$AS117),1,"")</f>
        <v/>
      </c>
      <c r="CG118" s="184" t="str">
        <f t="shared" ref="CG118:CG149" si="231">IF(AND(AO118&gt;=$AS118,AO117&lt;$AS117),1,"")</f>
        <v/>
      </c>
      <c r="CH118" s="184" t="str">
        <f t="shared" ref="CH118:CH149" si="232">IF(AND(AP118&gt;=$AS118,AP117&lt;$AS117),1,"")</f>
        <v/>
      </c>
      <c r="CI118" s="184" t="str">
        <f t="shared" ref="CI118:CI149" si="233">IF(AND(AQ118&gt;=$AS118,AQ117&lt;$AS117),1,"")</f>
        <v/>
      </c>
      <c r="CJ118" s="184" t="str">
        <f t="shared" ref="CJ118:CJ149" si="234">IF(AND(AR118&gt;=$AS118,AR117&lt;$AS117),1,"")</f>
        <v/>
      </c>
      <c r="CK118" s="184"/>
      <c r="CM118" s="184"/>
      <c r="CN118"/>
      <c r="CP118"/>
      <c r="CR118"/>
      <c r="CT118"/>
      <c r="CV118"/>
      <c r="CX118"/>
      <c r="CZ118"/>
      <c r="DB118"/>
      <c r="DD118"/>
      <c r="DF118"/>
      <c r="ED118" s="184"/>
      <c r="EF118" s="184"/>
      <c r="EH118" s="184"/>
      <c r="EJ118" s="184"/>
      <c r="EL118" s="184"/>
      <c r="EN118" s="184"/>
      <c r="EP118" s="184"/>
      <c r="ER118" s="184"/>
      <c r="ET118" s="184"/>
      <c r="EV118" s="184"/>
      <c r="EX118" s="184"/>
      <c r="EZ118" s="184"/>
      <c r="FB118" s="184"/>
    </row>
    <row r="119" spans="1:158">
      <c r="A119" s="184">
        <f t="shared" si="193"/>
        <v>-10.5</v>
      </c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>
        <f t="shared" si="170"/>
        <v>23090.625000000004</v>
      </c>
      <c r="Y119" s="18"/>
      <c r="Z119" s="18">
        <f t="shared" si="171"/>
        <v>18690</v>
      </c>
      <c r="AA119" s="18">
        <f t="shared" si="172"/>
        <v>24030</v>
      </c>
      <c r="AB119" s="18">
        <f t="shared" si="173"/>
        <v>27665</v>
      </c>
      <c r="AC119" s="18">
        <f t="shared" si="183"/>
        <v>6776.3333333333294</v>
      </c>
      <c r="AD119" s="18">
        <f t="shared" si="184"/>
        <v>8494.3333333333412</v>
      </c>
      <c r="AE119" s="18">
        <f t="shared" si="185"/>
        <v>10816.333333333341</v>
      </c>
      <c r="AF119" s="18">
        <f t="shared" si="186"/>
        <v>15320.333333333341</v>
      </c>
      <c r="AG119" s="18">
        <f t="shared" si="187"/>
        <v>16375.333333333319</v>
      </c>
      <c r="AH119" s="18">
        <f t="shared" si="188"/>
        <v>8250.3333333333412</v>
      </c>
      <c r="AI119" s="18">
        <f t="shared" si="189"/>
        <v>9910.3333333333412</v>
      </c>
      <c r="AJ119" s="18">
        <f t="shared" si="190"/>
        <v>14960.333333333341</v>
      </c>
      <c r="AK119" s="18">
        <f t="shared" si="191"/>
        <v>17600.333333333318</v>
      </c>
      <c r="AL119" s="18">
        <f t="shared" si="175"/>
        <v>15180</v>
      </c>
      <c r="AM119" s="18">
        <f t="shared" si="176"/>
        <v>17250</v>
      </c>
      <c r="AN119" s="18">
        <f t="shared" si="177"/>
        <v>19734</v>
      </c>
      <c r="AO119" s="18">
        <f t="shared" si="178"/>
        <v>31050</v>
      </c>
      <c r="AP119" s="18">
        <f t="shared" si="179"/>
        <v>33120</v>
      </c>
      <c r="AQ119" s="18">
        <f t="shared" si="180"/>
        <v>37260</v>
      </c>
      <c r="AR119" s="18">
        <f t="shared" si="181"/>
        <v>101568</v>
      </c>
      <c r="AS119" s="18">
        <f t="shared" si="192"/>
        <v>45000</v>
      </c>
      <c r="AT119" s="184" t="str">
        <f t="shared" si="194"/>
        <v/>
      </c>
      <c r="AU119" s="184" t="str">
        <f t="shared" si="195"/>
        <v/>
      </c>
      <c r="AV119" s="184" t="str">
        <f t="shared" si="196"/>
        <v/>
      </c>
      <c r="AW119" s="184" t="str">
        <f t="shared" si="197"/>
        <v/>
      </c>
      <c r="AX119" s="184" t="str">
        <f t="shared" si="198"/>
        <v/>
      </c>
      <c r="AY119" s="184" t="str">
        <f t="shared" si="199"/>
        <v/>
      </c>
      <c r="AZ119" s="184" t="str">
        <f t="shared" si="200"/>
        <v/>
      </c>
      <c r="BA119" s="184" t="str">
        <f t="shared" si="201"/>
        <v/>
      </c>
      <c r="BB119" s="184" t="str">
        <f t="shared" si="202"/>
        <v/>
      </c>
      <c r="BC119" s="184" t="str">
        <f t="shared" si="203"/>
        <v/>
      </c>
      <c r="BD119" s="184" t="str">
        <f t="shared" si="204"/>
        <v/>
      </c>
      <c r="BE119" s="184" t="str">
        <f t="shared" si="205"/>
        <v/>
      </c>
      <c r="BF119" s="184" t="str">
        <f t="shared" si="206"/>
        <v/>
      </c>
      <c r="BG119" s="184" t="str">
        <f t="shared" si="207"/>
        <v/>
      </c>
      <c r="BH119" s="184" t="str">
        <f t="shared" si="208"/>
        <v/>
      </c>
      <c r="BI119" s="184" t="str">
        <f t="shared" si="209"/>
        <v/>
      </c>
      <c r="BJ119" s="184" t="str">
        <f t="shared" si="210"/>
        <v/>
      </c>
      <c r="BK119" s="184" t="str">
        <f t="shared" si="211"/>
        <v/>
      </c>
      <c r="BL119" s="184" t="str">
        <f t="shared" si="212"/>
        <v/>
      </c>
      <c r="BM119" s="184" t="str">
        <f t="shared" si="213"/>
        <v/>
      </c>
      <c r="BN119" s="184" t="str">
        <f t="shared" si="214"/>
        <v/>
      </c>
      <c r="BO119" s="184" t="str">
        <f t="shared" si="215"/>
        <v/>
      </c>
      <c r="BP119" s="184" t="str">
        <f t="shared" si="216"/>
        <v/>
      </c>
      <c r="BQ119" s="184" t="str">
        <f t="shared" si="217"/>
        <v/>
      </c>
      <c r="BR119" s="184" t="str">
        <f t="shared" si="218"/>
        <v/>
      </c>
      <c r="BS119" s="184" t="str">
        <f t="shared" si="218"/>
        <v/>
      </c>
      <c r="BT119" s="184" t="str">
        <f t="shared" si="218"/>
        <v/>
      </c>
      <c r="BU119" s="184" t="str">
        <f t="shared" si="219"/>
        <v/>
      </c>
      <c r="BV119" s="184" t="str">
        <f t="shared" si="220"/>
        <v/>
      </c>
      <c r="BW119" s="184" t="str">
        <f t="shared" si="221"/>
        <v/>
      </c>
      <c r="BX119" s="184" t="str">
        <f t="shared" si="222"/>
        <v/>
      </c>
      <c r="BY119" s="184" t="str">
        <f t="shared" si="223"/>
        <v/>
      </c>
      <c r="BZ119" s="184" t="str">
        <f t="shared" si="224"/>
        <v/>
      </c>
      <c r="CA119" s="184" t="str">
        <f t="shared" si="225"/>
        <v/>
      </c>
      <c r="CB119" s="184" t="str">
        <f t="shared" si="226"/>
        <v/>
      </c>
      <c r="CC119" s="184" t="str">
        <f t="shared" si="227"/>
        <v/>
      </c>
      <c r="CD119" s="184" t="str">
        <f t="shared" si="228"/>
        <v/>
      </c>
      <c r="CE119" s="184" t="str">
        <f t="shared" si="229"/>
        <v/>
      </c>
      <c r="CF119" s="184" t="str">
        <f t="shared" si="230"/>
        <v/>
      </c>
      <c r="CG119" s="184" t="str">
        <f t="shared" si="231"/>
        <v/>
      </c>
      <c r="CH119" s="184" t="str">
        <f t="shared" si="232"/>
        <v/>
      </c>
      <c r="CI119" s="184" t="str">
        <f t="shared" si="233"/>
        <v/>
      </c>
      <c r="CJ119" s="184" t="str">
        <f t="shared" si="234"/>
        <v/>
      </c>
      <c r="CK119" s="184"/>
      <c r="CM119" s="184"/>
      <c r="CN119"/>
      <c r="CP119"/>
      <c r="CR119"/>
      <c r="CT119"/>
      <c r="CV119"/>
      <c r="CX119"/>
      <c r="CZ119"/>
      <c r="DB119"/>
      <c r="DD119"/>
      <c r="DF119"/>
      <c r="ED119" s="184"/>
      <c r="EF119" s="184"/>
      <c r="EH119" s="184"/>
      <c r="EJ119" s="184"/>
      <c r="EL119" s="184"/>
      <c r="EN119" s="184"/>
      <c r="EP119" s="184"/>
      <c r="ER119" s="184"/>
      <c r="ET119" s="184"/>
      <c r="EV119" s="184"/>
      <c r="EX119" s="184"/>
      <c r="EZ119" s="184"/>
      <c r="FB119" s="184"/>
    </row>
    <row r="120" spans="1:158">
      <c r="A120" s="184">
        <f t="shared" si="193"/>
        <v>-10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>
        <f t="shared" si="170"/>
        <v>23321.250000000004</v>
      </c>
      <c r="Y120" s="18"/>
      <c r="Z120" s="18">
        <f t="shared" si="171"/>
        <v>18900</v>
      </c>
      <c r="AA120" s="18">
        <f t="shared" si="172"/>
        <v>24300</v>
      </c>
      <c r="AB120" s="18">
        <f t="shared" si="173"/>
        <v>28050</v>
      </c>
      <c r="AC120" s="18">
        <f t="shared" si="183"/>
        <v>6843.9999999999964</v>
      </c>
      <c r="AD120" s="18">
        <f t="shared" si="184"/>
        <v>8562.0000000000073</v>
      </c>
      <c r="AE120" s="18">
        <f t="shared" si="185"/>
        <v>10884.000000000007</v>
      </c>
      <c r="AF120" s="18">
        <f t="shared" si="186"/>
        <v>15388.000000000007</v>
      </c>
      <c r="AG120" s="18">
        <f t="shared" si="187"/>
        <v>16442.999999999985</v>
      </c>
      <c r="AH120" s="18">
        <f t="shared" si="188"/>
        <v>8318.0000000000073</v>
      </c>
      <c r="AI120" s="18">
        <f t="shared" si="189"/>
        <v>9978.0000000000073</v>
      </c>
      <c r="AJ120" s="18">
        <f t="shared" si="190"/>
        <v>15028.000000000007</v>
      </c>
      <c r="AK120" s="18">
        <f t="shared" si="191"/>
        <v>17667.999999999985</v>
      </c>
      <c r="AL120" s="18">
        <f t="shared" si="175"/>
        <v>15400</v>
      </c>
      <c r="AM120" s="18">
        <f t="shared" si="176"/>
        <v>17500</v>
      </c>
      <c r="AN120" s="18">
        <f t="shared" si="177"/>
        <v>20020</v>
      </c>
      <c r="AO120" s="18">
        <f t="shared" si="178"/>
        <v>31500</v>
      </c>
      <c r="AP120" s="18">
        <f t="shared" si="179"/>
        <v>33600</v>
      </c>
      <c r="AQ120" s="18">
        <f t="shared" si="180"/>
        <v>37800</v>
      </c>
      <c r="AR120" s="18">
        <f t="shared" si="181"/>
        <v>103040</v>
      </c>
      <c r="AS120" s="18">
        <f t="shared" si="192"/>
        <v>45000</v>
      </c>
      <c r="AT120" s="184" t="str">
        <f t="shared" si="194"/>
        <v/>
      </c>
      <c r="AU120" s="184" t="str">
        <f t="shared" si="195"/>
        <v/>
      </c>
      <c r="AV120" s="184" t="str">
        <f t="shared" si="196"/>
        <v/>
      </c>
      <c r="AW120" s="184" t="str">
        <f t="shared" si="197"/>
        <v/>
      </c>
      <c r="AX120" s="184" t="str">
        <f t="shared" si="198"/>
        <v/>
      </c>
      <c r="AY120" s="184" t="str">
        <f t="shared" si="199"/>
        <v/>
      </c>
      <c r="AZ120" s="184" t="str">
        <f t="shared" si="200"/>
        <v/>
      </c>
      <c r="BA120" s="184" t="str">
        <f t="shared" si="201"/>
        <v/>
      </c>
      <c r="BB120" s="184" t="str">
        <f t="shared" si="202"/>
        <v/>
      </c>
      <c r="BC120" s="184" t="str">
        <f t="shared" si="203"/>
        <v/>
      </c>
      <c r="BD120" s="184" t="str">
        <f t="shared" si="204"/>
        <v/>
      </c>
      <c r="BE120" s="184" t="str">
        <f t="shared" si="205"/>
        <v/>
      </c>
      <c r="BF120" s="184" t="str">
        <f t="shared" si="206"/>
        <v/>
      </c>
      <c r="BG120" s="184" t="str">
        <f t="shared" si="207"/>
        <v/>
      </c>
      <c r="BH120" s="184" t="str">
        <f t="shared" si="208"/>
        <v/>
      </c>
      <c r="BI120" s="184" t="str">
        <f t="shared" si="209"/>
        <v/>
      </c>
      <c r="BJ120" s="184" t="str">
        <f t="shared" si="210"/>
        <v/>
      </c>
      <c r="BK120" s="184" t="str">
        <f t="shared" si="211"/>
        <v/>
      </c>
      <c r="BL120" s="184" t="str">
        <f t="shared" si="212"/>
        <v/>
      </c>
      <c r="BM120" s="184" t="str">
        <f t="shared" si="213"/>
        <v/>
      </c>
      <c r="BN120" s="184" t="str">
        <f t="shared" si="214"/>
        <v/>
      </c>
      <c r="BO120" s="184" t="str">
        <f t="shared" si="215"/>
        <v/>
      </c>
      <c r="BP120" s="184" t="str">
        <f t="shared" si="216"/>
        <v/>
      </c>
      <c r="BQ120" s="184" t="str">
        <f t="shared" si="217"/>
        <v/>
      </c>
      <c r="BR120" s="184" t="str">
        <f t="shared" si="218"/>
        <v/>
      </c>
      <c r="BS120" s="184" t="str">
        <f t="shared" si="218"/>
        <v/>
      </c>
      <c r="BT120" s="184" t="str">
        <f t="shared" si="218"/>
        <v/>
      </c>
      <c r="BU120" s="184" t="str">
        <f t="shared" si="219"/>
        <v/>
      </c>
      <c r="BV120" s="184" t="str">
        <f t="shared" si="220"/>
        <v/>
      </c>
      <c r="BW120" s="184" t="str">
        <f t="shared" si="221"/>
        <v/>
      </c>
      <c r="BX120" s="184" t="str">
        <f t="shared" si="222"/>
        <v/>
      </c>
      <c r="BY120" s="184" t="str">
        <f t="shared" si="223"/>
        <v/>
      </c>
      <c r="BZ120" s="184" t="str">
        <f t="shared" si="224"/>
        <v/>
      </c>
      <c r="CA120" s="184" t="str">
        <f t="shared" si="225"/>
        <v/>
      </c>
      <c r="CB120" s="184" t="str">
        <f t="shared" si="226"/>
        <v/>
      </c>
      <c r="CC120" s="184" t="str">
        <f t="shared" si="227"/>
        <v/>
      </c>
      <c r="CD120" s="184" t="str">
        <f t="shared" si="228"/>
        <v/>
      </c>
      <c r="CE120" s="184" t="str">
        <f t="shared" si="229"/>
        <v/>
      </c>
      <c r="CF120" s="184" t="str">
        <f t="shared" si="230"/>
        <v/>
      </c>
      <c r="CG120" s="184" t="str">
        <f t="shared" si="231"/>
        <v/>
      </c>
      <c r="CH120" s="184" t="str">
        <f t="shared" si="232"/>
        <v/>
      </c>
      <c r="CI120" s="184" t="str">
        <f t="shared" si="233"/>
        <v/>
      </c>
      <c r="CJ120" s="184" t="str">
        <f t="shared" si="234"/>
        <v/>
      </c>
      <c r="CK120" s="184"/>
      <c r="CM120" s="184"/>
      <c r="CN120"/>
      <c r="CP120"/>
      <c r="CR120"/>
      <c r="CT120"/>
      <c r="CV120"/>
      <c r="CX120"/>
      <c r="CZ120"/>
      <c r="DB120"/>
      <c r="DD120"/>
      <c r="DF120"/>
      <c r="ED120" s="184"/>
      <c r="EF120" s="184"/>
      <c r="EH120" s="184"/>
      <c r="EJ120" s="184"/>
      <c r="EL120" s="184"/>
      <c r="EN120" s="184"/>
      <c r="EP120" s="184"/>
      <c r="ER120" s="184"/>
      <c r="ET120" s="184"/>
      <c r="EV120" s="184"/>
      <c r="EX120" s="184"/>
      <c r="EZ120" s="184"/>
      <c r="FB120" s="184"/>
    </row>
    <row r="121" spans="1:158">
      <c r="A121" s="184">
        <f t="shared" si="193"/>
        <v>-9.5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>
        <f t="shared" si="170"/>
        <v>23551.875000000004</v>
      </c>
      <c r="Y121" s="18"/>
      <c r="Z121" s="18">
        <f t="shared" si="171"/>
        <v>19110</v>
      </c>
      <c r="AA121" s="18">
        <f t="shared" si="172"/>
        <v>24570</v>
      </c>
      <c r="AB121" s="18">
        <f t="shared" si="173"/>
        <v>28435</v>
      </c>
      <c r="AC121" s="18">
        <f t="shared" si="183"/>
        <v>6911.6666666666633</v>
      </c>
      <c r="AD121" s="18">
        <f t="shared" si="184"/>
        <v>8629.6666666666733</v>
      </c>
      <c r="AE121" s="18">
        <f t="shared" si="185"/>
        <v>10951.666666666673</v>
      </c>
      <c r="AF121" s="18">
        <f t="shared" si="186"/>
        <v>15455.666666666673</v>
      </c>
      <c r="AG121" s="18">
        <f t="shared" si="187"/>
        <v>16510.666666666653</v>
      </c>
      <c r="AH121" s="18">
        <f t="shared" si="188"/>
        <v>8385.6666666666733</v>
      </c>
      <c r="AI121" s="18">
        <f t="shared" si="189"/>
        <v>10045.666666666673</v>
      </c>
      <c r="AJ121" s="18">
        <f t="shared" si="190"/>
        <v>15095.666666666673</v>
      </c>
      <c r="AK121" s="18">
        <f t="shared" si="191"/>
        <v>17735.666666666653</v>
      </c>
      <c r="AL121" s="18">
        <f t="shared" si="175"/>
        <v>15620</v>
      </c>
      <c r="AM121" s="18">
        <f t="shared" si="176"/>
        <v>17750</v>
      </c>
      <c r="AN121" s="18">
        <f t="shared" si="177"/>
        <v>20306</v>
      </c>
      <c r="AO121" s="18">
        <f t="shared" si="178"/>
        <v>31950</v>
      </c>
      <c r="AP121" s="18">
        <f t="shared" si="179"/>
        <v>34080</v>
      </c>
      <c r="AQ121" s="18">
        <f t="shared" si="180"/>
        <v>38340</v>
      </c>
      <c r="AR121" s="18">
        <f t="shared" si="181"/>
        <v>104512</v>
      </c>
      <c r="AS121" s="18">
        <f t="shared" si="192"/>
        <v>45000</v>
      </c>
      <c r="AT121" s="184" t="str">
        <f t="shared" si="194"/>
        <v/>
      </c>
      <c r="AU121" s="184" t="str">
        <f t="shared" si="195"/>
        <v/>
      </c>
      <c r="AV121" s="184" t="str">
        <f t="shared" si="196"/>
        <v/>
      </c>
      <c r="AW121" s="184" t="str">
        <f t="shared" si="197"/>
        <v/>
      </c>
      <c r="AX121" s="184" t="str">
        <f t="shared" si="198"/>
        <v/>
      </c>
      <c r="AY121" s="184" t="str">
        <f t="shared" si="199"/>
        <v/>
      </c>
      <c r="AZ121" s="184" t="str">
        <f t="shared" si="200"/>
        <v/>
      </c>
      <c r="BA121" s="184" t="str">
        <f t="shared" si="201"/>
        <v/>
      </c>
      <c r="BB121" s="184" t="str">
        <f t="shared" si="202"/>
        <v/>
      </c>
      <c r="BC121" s="184" t="str">
        <f t="shared" si="203"/>
        <v/>
      </c>
      <c r="BD121" s="184" t="str">
        <f t="shared" si="204"/>
        <v/>
      </c>
      <c r="BE121" s="184" t="str">
        <f t="shared" si="205"/>
        <v/>
      </c>
      <c r="BF121" s="184" t="str">
        <f t="shared" si="206"/>
        <v/>
      </c>
      <c r="BG121" s="184" t="str">
        <f t="shared" si="207"/>
        <v/>
      </c>
      <c r="BH121" s="184" t="str">
        <f t="shared" si="208"/>
        <v/>
      </c>
      <c r="BI121" s="184" t="str">
        <f t="shared" si="209"/>
        <v/>
      </c>
      <c r="BJ121" s="184" t="str">
        <f t="shared" si="210"/>
        <v/>
      </c>
      <c r="BK121" s="184" t="str">
        <f t="shared" si="211"/>
        <v/>
      </c>
      <c r="BL121" s="184" t="str">
        <f t="shared" si="212"/>
        <v/>
      </c>
      <c r="BM121" s="184" t="str">
        <f t="shared" si="213"/>
        <v/>
      </c>
      <c r="BN121" s="184" t="str">
        <f t="shared" si="214"/>
        <v/>
      </c>
      <c r="BO121" s="184" t="str">
        <f t="shared" si="215"/>
        <v/>
      </c>
      <c r="BP121" s="184" t="str">
        <f t="shared" si="216"/>
        <v/>
      </c>
      <c r="BQ121" s="184" t="str">
        <f t="shared" si="217"/>
        <v/>
      </c>
      <c r="BR121" s="184" t="str">
        <f t="shared" si="218"/>
        <v/>
      </c>
      <c r="BS121" s="184" t="str">
        <f t="shared" si="218"/>
        <v/>
      </c>
      <c r="BT121" s="184" t="str">
        <f t="shared" si="218"/>
        <v/>
      </c>
      <c r="BU121" s="184" t="str">
        <f t="shared" si="219"/>
        <v/>
      </c>
      <c r="BV121" s="184" t="str">
        <f t="shared" si="220"/>
        <v/>
      </c>
      <c r="BW121" s="184" t="str">
        <f t="shared" si="221"/>
        <v/>
      </c>
      <c r="BX121" s="184" t="str">
        <f t="shared" si="222"/>
        <v/>
      </c>
      <c r="BY121" s="184" t="str">
        <f t="shared" si="223"/>
        <v/>
      </c>
      <c r="BZ121" s="184" t="str">
        <f t="shared" si="224"/>
        <v/>
      </c>
      <c r="CA121" s="184" t="str">
        <f t="shared" si="225"/>
        <v/>
      </c>
      <c r="CB121" s="184" t="str">
        <f t="shared" si="226"/>
        <v/>
      </c>
      <c r="CC121" s="184" t="str">
        <f t="shared" si="227"/>
        <v/>
      </c>
      <c r="CD121" s="184" t="str">
        <f t="shared" si="228"/>
        <v/>
      </c>
      <c r="CE121" s="184" t="str">
        <f t="shared" si="229"/>
        <v/>
      </c>
      <c r="CF121" s="184" t="str">
        <f t="shared" si="230"/>
        <v/>
      </c>
      <c r="CG121" s="184" t="str">
        <f t="shared" si="231"/>
        <v/>
      </c>
      <c r="CH121" s="184" t="str">
        <f t="shared" si="232"/>
        <v/>
      </c>
      <c r="CI121" s="184" t="str">
        <f t="shared" si="233"/>
        <v/>
      </c>
      <c r="CJ121" s="184" t="str">
        <f t="shared" si="234"/>
        <v/>
      </c>
      <c r="CK121" s="184"/>
      <c r="CM121" s="184"/>
      <c r="CN121"/>
      <c r="CP121"/>
      <c r="CR121"/>
      <c r="CT121"/>
      <c r="CV121"/>
      <c r="CX121"/>
      <c r="CZ121"/>
      <c r="DB121"/>
      <c r="DD121"/>
      <c r="DF121"/>
      <c r="ED121" s="184"/>
      <c r="EF121" s="184"/>
      <c r="EH121" s="184"/>
      <c r="EJ121" s="184"/>
      <c r="EL121" s="184"/>
      <c r="EN121" s="184"/>
      <c r="EP121" s="184"/>
      <c r="ER121" s="184"/>
      <c r="ET121" s="184"/>
      <c r="EV121" s="184"/>
      <c r="EX121" s="184"/>
      <c r="EZ121" s="184"/>
      <c r="FB121" s="184"/>
    </row>
    <row r="122" spans="1:158">
      <c r="A122" s="184">
        <f t="shared" si="193"/>
        <v>-9</v>
      </c>
      <c r="B122" s="18">
        <f t="shared" ref="B122:B148" si="235">B123-(B$151-B$150)*1.2</f>
        <v>2139.9999999999905</v>
      </c>
      <c r="C122" s="18">
        <f t="shared" ref="C122:C148" si="236">C123-(C$151-C$150)*1.2</f>
        <v>1800</v>
      </c>
      <c r="D122" s="18">
        <f t="shared" ref="D122:D148" si="237">D123-(D$151-D$150)*1.2</f>
        <v>2299.9999999999959</v>
      </c>
      <c r="E122" s="18">
        <f t="shared" ref="E122:E148" si="238">E123-(E$151-E$150)*1.2</f>
        <v>4460</v>
      </c>
      <c r="F122" s="18">
        <f t="shared" ref="F122:F148" si="239">F123-(F$151-F$150)*1.2</f>
        <v>2840.0000000000082</v>
      </c>
      <c r="G122" s="18">
        <f t="shared" ref="G122:G148" si="240">G123-(G$151-G$150)*1.2</f>
        <v>2780.0000000000055</v>
      </c>
      <c r="H122" s="18">
        <f t="shared" ref="H122:H148" si="241">H123-(H$151-H$150)*1.2</f>
        <v>2160.0000000000045</v>
      </c>
      <c r="I122" s="18">
        <f t="shared" ref="I122:I148" si="242">I123-(I$151-I$150)*1.2</f>
        <v>2280</v>
      </c>
      <c r="J122" s="18">
        <f t="shared" ref="J122:J148" si="243">J123-(J$151-J$150)*1.2</f>
        <v>2799.999999999995</v>
      </c>
      <c r="K122" s="18">
        <f t="shared" ref="K122:K148" si="244">K123-(K$151-K$150)*1.2</f>
        <v>3139.9999999999973</v>
      </c>
      <c r="L122" s="18">
        <f t="shared" ref="L122:L148" si="245">L123-(L$151-L$150)*1.2</f>
        <v>3080.0000000000218</v>
      </c>
      <c r="M122" s="18">
        <f t="shared" ref="M122:M148" si="246">M123-(M$151-M$150)*1.2</f>
        <v>6640</v>
      </c>
      <c r="N122" s="18">
        <f t="shared" ref="N122:N130" si="247">N123-(N$151-N$150)*1.2</f>
        <v>4519.0000000000009</v>
      </c>
      <c r="O122" s="18">
        <f t="shared" ref="O122:O131" si="248">O123-(O$151-O$150)*1.2</f>
        <v>6816.0000000000045</v>
      </c>
      <c r="P122" s="18">
        <f t="shared" ref="P122:P131" si="249">P123-(P$151-P$150)*1.2</f>
        <v>9800</v>
      </c>
      <c r="Q122" s="18">
        <f t="shared" ref="Q122:Q131" si="250">Q123-(Q$151-Q$150)*1.2</f>
        <v>7747.9999999999982</v>
      </c>
      <c r="R122" s="18">
        <f t="shared" ref="R122:R131" si="251">R123-(R$151-R$150)*1.2</f>
        <v>12816.000000000002</v>
      </c>
      <c r="S122" s="18"/>
      <c r="T122" s="18"/>
      <c r="U122" s="18"/>
      <c r="V122" s="18"/>
      <c r="W122" s="18"/>
      <c r="X122" s="18">
        <f t="shared" si="170"/>
        <v>23782.500000000004</v>
      </c>
      <c r="Y122" s="18">
        <f t="shared" ref="Y122:Y148" si="252">Y123-(Y$151-Y$150)*1.2</f>
        <v>17607.999999999898</v>
      </c>
      <c r="Z122" s="18">
        <f t="shared" si="171"/>
        <v>19320</v>
      </c>
      <c r="AA122" s="18">
        <f t="shared" si="172"/>
        <v>24840</v>
      </c>
      <c r="AB122" s="18">
        <f t="shared" si="173"/>
        <v>28820</v>
      </c>
      <c r="AC122" s="18">
        <f t="shared" si="183"/>
        <v>6979.3333333333303</v>
      </c>
      <c r="AD122" s="18">
        <f t="shared" si="184"/>
        <v>8697.3333333333394</v>
      </c>
      <c r="AE122" s="18">
        <f t="shared" si="185"/>
        <v>11019.333333333339</v>
      </c>
      <c r="AF122" s="18">
        <f t="shared" si="186"/>
        <v>15523.333333333339</v>
      </c>
      <c r="AG122" s="18">
        <f t="shared" si="187"/>
        <v>16578.333333333321</v>
      </c>
      <c r="AH122" s="18">
        <f t="shared" si="188"/>
        <v>8453.3333333333394</v>
      </c>
      <c r="AI122" s="18">
        <f t="shared" si="189"/>
        <v>10113.333333333339</v>
      </c>
      <c r="AJ122" s="18">
        <f t="shared" si="190"/>
        <v>15163.333333333339</v>
      </c>
      <c r="AK122" s="18">
        <f t="shared" si="191"/>
        <v>17803.333333333321</v>
      </c>
      <c r="AL122" s="18">
        <f t="shared" si="175"/>
        <v>15840</v>
      </c>
      <c r="AM122" s="18">
        <f t="shared" si="176"/>
        <v>18000</v>
      </c>
      <c r="AN122" s="18">
        <f t="shared" si="177"/>
        <v>20592</v>
      </c>
      <c r="AO122" s="18">
        <f t="shared" si="178"/>
        <v>32400</v>
      </c>
      <c r="AP122" s="18">
        <f t="shared" si="179"/>
        <v>34560</v>
      </c>
      <c r="AQ122" s="18">
        <f t="shared" si="180"/>
        <v>38880</v>
      </c>
      <c r="AR122" s="18">
        <f t="shared" si="181"/>
        <v>105984</v>
      </c>
      <c r="AS122" s="18">
        <f t="shared" si="192"/>
        <v>45000</v>
      </c>
      <c r="AT122" s="184" t="str">
        <f t="shared" si="194"/>
        <v/>
      </c>
      <c r="AU122" s="184" t="str">
        <f t="shared" si="195"/>
        <v/>
      </c>
      <c r="AV122" s="184" t="str">
        <f t="shared" si="196"/>
        <v/>
      </c>
      <c r="AW122" s="184" t="str">
        <f t="shared" si="197"/>
        <v/>
      </c>
      <c r="AX122" s="184" t="str">
        <f t="shared" si="198"/>
        <v/>
      </c>
      <c r="AY122" s="184" t="str">
        <f t="shared" si="199"/>
        <v/>
      </c>
      <c r="AZ122" s="184" t="str">
        <f t="shared" si="200"/>
        <v/>
      </c>
      <c r="BA122" s="184" t="str">
        <f t="shared" si="201"/>
        <v/>
      </c>
      <c r="BB122" s="184" t="str">
        <f t="shared" si="202"/>
        <v/>
      </c>
      <c r="BC122" s="184" t="str">
        <f t="shared" si="203"/>
        <v/>
      </c>
      <c r="BD122" s="184" t="str">
        <f t="shared" si="204"/>
        <v/>
      </c>
      <c r="BE122" s="184" t="str">
        <f t="shared" si="205"/>
        <v/>
      </c>
      <c r="BF122" s="184" t="str">
        <f t="shared" si="206"/>
        <v/>
      </c>
      <c r="BG122" s="184" t="str">
        <f t="shared" si="207"/>
        <v/>
      </c>
      <c r="BH122" s="184" t="str">
        <f t="shared" si="208"/>
        <v/>
      </c>
      <c r="BI122" s="184" t="str">
        <f t="shared" si="209"/>
        <v/>
      </c>
      <c r="BJ122" s="184" t="str">
        <f t="shared" si="210"/>
        <v/>
      </c>
      <c r="BK122" s="184" t="str">
        <f t="shared" si="211"/>
        <v/>
      </c>
      <c r="BL122" s="184" t="str">
        <f t="shared" si="212"/>
        <v/>
      </c>
      <c r="BM122" s="184" t="str">
        <f t="shared" si="213"/>
        <v/>
      </c>
      <c r="BN122" s="184" t="str">
        <f t="shared" si="214"/>
        <v/>
      </c>
      <c r="BO122" s="184" t="str">
        <f t="shared" si="215"/>
        <v/>
      </c>
      <c r="BP122" s="184" t="str">
        <f t="shared" si="216"/>
        <v/>
      </c>
      <c r="BQ122" s="184" t="str">
        <f t="shared" si="217"/>
        <v/>
      </c>
      <c r="BR122" s="184" t="str">
        <f t="shared" si="218"/>
        <v/>
      </c>
      <c r="BS122" s="184" t="str">
        <f t="shared" si="218"/>
        <v/>
      </c>
      <c r="BT122" s="184" t="str">
        <f t="shared" si="218"/>
        <v/>
      </c>
      <c r="BU122" s="184" t="str">
        <f t="shared" si="219"/>
        <v/>
      </c>
      <c r="BV122" s="184" t="str">
        <f t="shared" si="220"/>
        <v/>
      </c>
      <c r="BW122" s="184" t="str">
        <f t="shared" si="221"/>
        <v/>
      </c>
      <c r="BX122" s="184" t="str">
        <f t="shared" si="222"/>
        <v/>
      </c>
      <c r="BY122" s="184" t="str">
        <f t="shared" si="223"/>
        <v/>
      </c>
      <c r="BZ122" s="184" t="str">
        <f t="shared" si="224"/>
        <v/>
      </c>
      <c r="CA122" s="184" t="str">
        <f t="shared" si="225"/>
        <v/>
      </c>
      <c r="CB122" s="184" t="str">
        <f t="shared" si="226"/>
        <v/>
      </c>
      <c r="CC122" s="184" t="str">
        <f t="shared" si="227"/>
        <v/>
      </c>
      <c r="CD122" s="184" t="str">
        <f t="shared" si="228"/>
        <v/>
      </c>
      <c r="CE122" s="184" t="str">
        <f t="shared" si="229"/>
        <v/>
      </c>
      <c r="CF122" s="184" t="str">
        <f t="shared" si="230"/>
        <v/>
      </c>
      <c r="CG122" s="184" t="str">
        <f t="shared" si="231"/>
        <v/>
      </c>
      <c r="CH122" s="184" t="str">
        <f t="shared" si="232"/>
        <v/>
      </c>
      <c r="CI122" s="184" t="str">
        <f t="shared" si="233"/>
        <v/>
      </c>
      <c r="CJ122" s="184" t="str">
        <f t="shared" si="234"/>
        <v/>
      </c>
      <c r="CK122" s="184"/>
      <c r="CM122" s="184"/>
      <c r="CN122"/>
      <c r="CP122"/>
      <c r="CR122"/>
      <c r="CT122"/>
      <c r="CV122"/>
      <c r="CX122"/>
      <c r="CZ122"/>
      <c r="DB122"/>
      <c r="DD122"/>
      <c r="DF122"/>
      <c r="ED122" s="184"/>
      <c r="EF122" s="184"/>
      <c r="EH122" s="184"/>
      <c r="EJ122" s="184"/>
      <c r="EL122" s="184"/>
      <c r="EN122" s="184"/>
      <c r="EP122" s="184"/>
      <c r="ER122" s="184"/>
      <c r="ET122" s="184"/>
      <c r="EV122" s="184"/>
      <c r="EX122" s="184"/>
      <c r="EZ122" s="184"/>
      <c r="FB122" s="184"/>
    </row>
    <row r="123" spans="1:158">
      <c r="A123" s="184">
        <f t="shared" si="193"/>
        <v>-8.5</v>
      </c>
      <c r="B123" s="18">
        <f t="shared" si="235"/>
        <v>2234.9999999999909</v>
      </c>
      <c r="C123" s="18">
        <f t="shared" si="236"/>
        <v>1950</v>
      </c>
      <c r="D123" s="18">
        <f t="shared" si="237"/>
        <v>2499.9999999999964</v>
      </c>
      <c r="E123" s="18">
        <f t="shared" si="238"/>
        <v>4640</v>
      </c>
      <c r="F123" s="18">
        <f t="shared" si="239"/>
        <v>2910.0000000000077</v>
      </c>
      <c r="G123" s="18">
        <f t="shared" si="240"/>
        <v>2895.000000000005</v>
      </c>
      <c r="H123" s="18">
        <f t="shared" si="241"/>
        <v>2365.0000000000041</v>
      </c>
      <c r="I123" s="18">
        <f t="shared" si="242"/>
        <v>2370</v>
      </c>
      <c r="J123" s="18">
        <f t="shared" si="243"/>
        <v>2924.9999999999955</v>
      </c>
      <c r="K123" s="18">
        <f t="shared" si="244"/>
        <v>3309.9999999999977</v>
      </c>
      <c r="L123" s="18">
        <f t="shared" si="245"/>
        <v>3295.0000000000209</v>
      </c>
      <c r="M123" s="18">
        <f t="shared" si="246"/>
        <v>6835</v>
      </c>
      <c r="N123" s="18">
        <f t="shared" si="247"/>
        <v>4677.5000000000009</v>
      </c>
      <c r="O123" s="18">
        <f t="shared" si="248"/>
        <v>6926.4000000000042</v>
      </c>
      <c r="P123" s="18">
        <f t="shared" si="249"/>
        <v>9936</v>
      </c>
      <c r="Q123" s="18">
        <f t="shared" si="250"/>
        <v>8009.9999999999991</v>
      </c>
      <c r="R123" s="18">
        <f t="shared" si="251"/>
        <v>13080.000000000002</v>
      </c>
      <c r="S123" s="18"/>
      <c r="T123" s="18"/>
      <c r="U123" s="18"/>
      <c r="V123" s="18"/>
      <c r="W123" s="18"/>
      <c r="X123" s="18">
        <f t="shared" si="170"/>
        <v>24013.125000000004</v>
      </c>
      <c r="Y123" s="18">
        <f t="shared" si="252"/>
        <v>18136.999999999902</v>
      </c>
      <c r="Z123" s="18">
        <f t="shared" si="171"/>
        <v>19530</v>
      </c>
      <c r="AA123" s="18">
        <f t="shared" si="172"/>
        <v>25110</v>
      </c>
      <c r="AB123" s="18">
        <f t="shared" si="173"/>
        <v>29205</v>
      </c>
      <c r="AC123" s="18">
        <f t="shared" si="183"/>
        <v>7046.9999999999973</v>
      </c>
      <c r="AD123" s="18">
        <f t="shared" si="184"/>
        <v>8765.0000000000055</v>
      </c>
      <c r="AE123" s="18">
        <f t="shared" si="185"/>
        <v>11087.000000000005</v>
      </c>
      <c r="AF123" s="18">
        <f t="shared" si="186"/>
        <v>15591.000000000005</v>
      </c>
      <c r="AG123" s="18">
        <f t="shared" si="187"/>
        <v>16645.999999999989</v>
      </c>
      <c r="AH123" s="18">
        <f t="shared" si="188"/>
        <v>8521.0000000000055</v>
      </c>
      <c r="AI123" s="18">
        <f t="shared" si="189"/>
        <v>10181.000000000005</v>
      </c>
      <c r="AJ123" s="18">
        <f t="shared" si="190"/>
        <v>15231.000000000005</v>
      </c>
      <c r="AK123" s="18">
        <f t="shared" si="191"/>
        <v>17870.999999999989</v>
      </c>
      <c r="AL123" s="18">
        <f t="shared" si="175"/>
        <v>16060</v>
      </c>
      <c r="AM123" s="18">
        <f t="shared" si="176"/>
        <v>18250</v>
      </c>
      <c r="AN123" s="18">
        <f t="shared" si="177"/>
        <v>20878</v>
      </c>
      <c r="AO123" s="18">
        <f t="shared" si="178"/>
        <v>32850</v>
      </c>
      <c r="AP123" s="18">
        <f t="shared" si="179"/>
        <v>35040</v>
      </c>
      <c r="AQ123" s="18">
        <f t="shared" si="180"/>
        <v>39420</v>
      </c>
      <c r="AR123" s="18">
        <f t="shared" si="181"/>
        <v>107456</v>
      </c>
      <c r="AS123" s="18">
        <f t="shared" si="192"/>
        <v>45000</v>
      </c>
      <c r="AT123" s="184" t="str">
        <f t="shared" si="194"/>
        <v/>
      </c>
      <c r="AU123" s="184" t="str">
        <f t="shared" si="195"/>
        <v/>
      </c>
      <c r="AV123" s="184" t="str">
        <f t="shared" si="196"/>
        <v/>
      </c>
      <c r="AW123" s="184" t="str">
        <f t="shared" si="197"/>
        <v/>
      </c>
      <c r="AX123" s="184" t="str">
        <f t="shared" si="198"/>
        <v/>
      </c>
      <c r="AY123" s="184" t="str">
        <f t="shared" si="199"/>
        <v/>
      </c>
      <c r="AZ123" s="184" t="str">
        <f t="shared" si="200"/>
        <v/>
      </c>
      <c r="BA123" s="184" t="str">
        <f t="shared" si="201"/>
        <v/>
      </c>
      <c r="BB123" s="184" t="str">
        <f t="shared" si="202"/>
        <v/>
      </c>
      <c r="BC123" s="184" t="str">
        <f t="shared" si="203"/>
        <v/>
      </c>
      <c r="BD123" s="184" t="str">
        <f t="shared" si="204"/>
        <v/>
      </c>
      <c r="BE123" s="184" t="str">
        <f t="shared" si="205"/>
        <v/>
      </c>
      <c r="BF123" s="184" t="str">
        <f t="shared" si="206"/>
        <v/>
      </c>
      <c r="BG123" s="184" t="str">
        <f t="shared" si="207"/>
        <v/>
      </c>
      <c r="BH123" s="184" t="str">
        <f t="shared" si="208"/>
        <v/>
      </c>
      <c r="BI123" s="184" t="str">
        <f t="shared" si="209"/>
        <v/>
      </c>
      <c r="BJ123" s="184" t="str">
        <f t="shared" si="210"/>
        <v/>
      </c>
      <c r="BK123" s="184" t="str">
        <f t="shared" si="211"/>
        <v/>
      </c>
      <c r="BL123" s="184" t="str">
        <f t="shared" si="212"/>
        <v/>
      </c>
      <c r="BM123" s="184" t="str">
        <f t="shared" si="213"/>
        <v/>
      </c>
      <c r="BN123" s="184" t="str">
        <f t="shared" si="214"/>
        <v/>
      </c>
      <c r="BO123" s="184" t="str">
        <f t="shared" si="215"/>
        <v/>
      </c>
      <c r="BP123" s="184" t="str">
        <f t="shared" si="216"/>
        <v/>
      </c>
      <c r="BQ123" s="184" t="str">
        <f t="shared" si="217"/>
        <v/>
      </c>
      <c r="BR123" s="184" t="str">
        <f t="shared" si="218"/>
        <v/>
      </c>
      <c r="BS123" s="184" t="str">
        <f t="shared" si="218"/>
        <v/>
      </c>
      <c r="BT123" s="184" t="str">
        <f t="shared" si="218"/>
        <v/>
      </c>
      <c r="BU123" s="184" t="str">
        <f t="shared" si="219"/>
        <v/>
      </c>
      <c r="BV123" s="184" t="str">
        <f t="shared" si="220"/>
        <v/>
      </c>
      <c r="BW123" s="184" t="str">
        <f t="shared" si="221"/>
        <v/>
      </c>
      <c r="BX123" s="184" t="str">
        <f t="shared" si="222"/>
        <v/>
      </c>
      <c r="BY123" s="184" t="str">
        <f t="shared" si="223"/>
        <v/>
      </c>
      <c r="BZ123" s="184" t="str">
        <f t="shared" si="224"/>
        <v/>
      </c>
      <c r="CA123" s="184" t="str">
        <f t="shared" si="225"/>
        <v/>
      </c>
      <c r="CB123" s="184" t="str">
        <f t="shared" si="226"/>
        <v/>
      </c>
      <c r="CC123" s="184" t="str">
        <f t="shared" si="227"/>
        <v/>
      </c>
      <c r="CD123" s="184" t="str">
        <f t="shared" si="228"/>
        <v/>
      </c>
      <c r="CE123" s="184" t="str">
        <f t="shared" si="229"/>
        <v/>
      </c>
      <c r="CF123" s="184" t="str">
        <f t="shared" si="230"/>
        <v/>
      </c>
      <c r="CG123" s="184" t="str">
        <f t="shared" si="231"/>
        <v/>
      </c>
      <c r="CH123" s="184" t="str">
        <f t="shared" si="232"/>
        <v/>
      </c>
      <c r="CI123" s="184" t="str">
        <f t="shared" si="233"/>
        <v/>
      </c>
      <c r="CJ123" s="184" t="str">
        <f t="shared" si="234"/>
        <v/>
      </c>
      <c r="CK123" s="184"/>
      <c r="CM123" s="184"/>
      <c r="CN123"/>
      <c r="CP123"/>
      <c r="CR123"/>
      <c r="CT123"/>
      <c r="CV123"/>
      <c r="CX123"/>
      <c r="CZ123"/>
      <c r="DB123"/>
      <c r="DD123"/>
      <c r="DF123"/>
      <c r="ED123" s="184"/>
      <c r="EF123" s="184"/>
      <c r="EH123" s="184"/>
      <c r="EJ123" s="184"/>
      <c r="EL123" s="184"/>
      <c r="EN123" s="184"/>
      <c r="EP123" s="184"/>
      <c r="ER123" s="184"/>
      <c r="ET123" s="184"/>
      <c r="EV123" s="184"/>
      <c r="EX123" s="184"/>
      <c r="EZ123" s="184"/>
      <c r="FB123" s="184"/>
    </row>
    <row r="124" spans="1:158">
      <c r="A124" s="184">
        <f t="shared" si="193"/>
        <v>-8</v>
      </c>
      <c r="B124" s="18">
        <f t="shared" si="235"/>
        <v>2329.9999999999914</v>
      </c>
      <c r="C124" s="18">
        <f t="shared" si="236"/>
        <v>2100</v>
      </c>
      <c r="D124" s="18">
        <f t="shared" si="237"/>
        <v>2699.9999999999968</v>
      </c>
      <c r="E124" s="18">
        <f t="shared" si="238"/>
        <v>4820</v>
      </c>
      <c r="F124" s="18">
        <f t="shared" si="239"/>
        <v>2980.0000000000073</v>
      </c>
      <c r="G124" s="18">
        <f t="shared" si="240"/>
        <v>3010.0000000000045</v>
      </c>
      <c r="H124" s="18">
        <f t="shared" si="241"/>
        <v>2570.0000000000036</v>
      </c>
      <c r="I124" s="18">
        <f t="shared" si="242"/>
        <v>2460</v>
      </c>
      <c r="J124" s="18">
        <f t="shared" si="243"/>
        <v>3049.9999999999959</v>
      </c>
      <c r="K124" s="18">
        <f t="shared" si="244"/>
        <v>3479.9999999999982</v>
      </c>
      <c r="L124" s="18">
        <f t="shared" si="245"/>
        <v>3510.00000000002</v>
      </c>
      <c r="M124" s="18">
        <f t="shared" si="246"/>
        <v>7030</v>
      </c>
      <c r="N124" s="18">
        <f t="shared" si="247"/>
        <v>4836.0000000000009</v>
      </c>
      <c r="O124" s="18">
        <f t="shared" si="248"/>
        <v>7036.8000000000038</v>
      </c>
      <c r="P124" s="18">
        <f t="shared" si="249"/>
        <v>10072</v>
      </c>
      <c r="Q124" s="18">
        <f t="shared" si="250"/>
        <v>8272</v>
      </c>
      <c r="R124" s="18">
        <f t="shared" si="251"/>
        <v>13344.000000000002</v>
      </c>
      <c r="S124" s="18"/>
      <c r="T124" s="18"/>
      <c r="U124" s="18"/>
      <c r="V124" s="18"/>
      <c r="W124" s="18"/>
      <c r="X124" s="18">
        <f t="shared" si="170"/>
        <v>24243.750000000004</v>
      </c>
      <c r="Y124" s="18">
        <f t="shared" si="252"/>
        <v>18665.999999999905</v>
      </c>
      <c r="Z124" s="18">
        <f t="shared" si="171"/>
        <v>19740</v>
      </c>
      <c r="AA124" s="18">
        <f t="shared" si="172"/>
        <v>25380</v>
      </c>
      <c r="AB124" s="18">
        <f t="shared" si="173"/>
        <v>29590</v>
      </c>
      <c r="AC124" s="18">
        <f t="shared" si="183"/>
        <v>7114.6666666666642</v>
      </c>
      <c r="AD124" s="18">
        <f t="shared" si="184"/>
        <v>8832.6666666666715</v>
      </c>
      <c r="AE124" s="18">
        <f t="shared" si="185"/>
        <v>11154.666666666672</v>
      </c>
      <c r="AF124" s="18">
        <f t="shared" si="186"/>
        <v>15658.666666666672</v>
      </c>
      <c r="AG124" s="18">
        <f t="shared" si="187"/>
        <v>16713.666666666657</v>
      </c>
      <c r="AH124" s="18">
        <f t="shared" si="188"/>
        <v>8588.6666666666715</v>
      </c>
      <c r="AI124" s="18">
        <f t="shared" si="189"/>
        <v>10248.666666666672</v>
      </c>
      <c r="AJ124" s="18">
        <f t="shared" si="190"/>
        <v>15298.666666666672</v>
      </c>
      <c r="AK124" s="18">
        <f t="shared" si="191"/>
        <v>17938.666666666657</v>
      </c>
      <c r="AL124" s="18">
        <f t="shared" si="175"/>
        <v>16280</v>
      </c>
      <c r="AM124" s="18">
        <f t="shared" si="176"/>
        <v>18500</v>
      </c>
      <c r="AN124" s="18">
        <f t="shared" si="177"/>
        <v>21164</v>
      </c>
      <c r="AO124" s="18">
        <f t="shared" si="178"/>
        <v>33300</v>
      </c>
      <c r="AP124" s="18">
        <f t="shared" si="179"/>
        <v>35520</v>
      </c>
      <c r="AQ124" s="18">
        <f t="shared" si="180"/>
        <v>39960</v>
      </c>
      <c r="AR124" s="18">
        <f t="shared" si="181"/>
        <v>108928</v>
      </c>
      <c r="AS124" s="18">
        <f t="shared" si="192"/>
        <v>45000</v>
      </c>
      <c r="AT124" s="184" t="str">
        <f t="shared" si="194"/>
        <v/>
      </c>
      <c r="AU124" s="184" t="str">
        <f t="shared" si="195"/>
        <v/>
      </c>
      <c r="AV124" s="184" t="str">
        <f t="shared" si="196"/>
        <v/>
      </c>
      <c r="AW124" s="184" t="str">
        <f t="shared" si="197"/>
        <v/>
      </c>
      <c r="AX124" s="184" t="str">
        <f t="shared" si="198"/>
        <v/>
      </c>
      <c r="AY124" s="184" t="str">
        <f t="shared" si="199"/>
        <v/>
      </c>
      <c r="AZ124" s="184" t="str">
        <f t="shared" si="200"/>
        <v/>
      </c>
      <c r="BA124" s="184" t="str">
        <f t="shared" si="201"/>
        <v/>
      </c>
      <c r="BB124" s="184" t="str">
        <f t="shared" si="202"/>
        <v/>
      </c>
      <c r="BC124" s="184" t="str">
        <f t="shared" si="203"/>
        <v/>
      </c>
      <c r="BD124" s="184" t="str">
        <f t="shared" si="204"/>
        <v/>
      </c>
      <c r="BE124" s="184" t="str">
        <f t="shared" si="205"/>
        <v/>
      </c>
      <c r="BF124" s="184" t="str">
        <f t="shared" si="206"/>
        <v/>
      </c>
      <c r="BG124" s="184" t="str">
        <f t="shared" si="207"/>
        <v/>
      </c>
      <c r="BH124" s="184" t="str">
        <f t="shared" si="208"/>
        <v/>
      </c>
      <c r="BI124" s="184" t="str">
        <f t="shared" si="209"/>
        <v/>
      </c>
      <c r="BJ124" s="184" t="str">
        <f t="shared" si="210"/>
        <v/>
      </c>
      <c r="BK124" s="184" t="str">
        <f t="shared" si="211"/>
        <v/>
      </c>
      <c r="BL124" s="184" t="str">
        <f t="shared" si="212"/>
        <v/>
      </c>
      <c r="BM124" s="184" t="str">
        <f t="shared" si="213"/>
        <v/>
      </c>
      <c r="BN124" s="184" t="str">
        <f t="shared" si="214"/>
        <v/>
      </c>
      <c r="BO124" s="184" t="str">
        <f t="shared" si="215"/>
        <v/>
      </c>
      <c r="BP124" s="184" t="str">
        <f t="shared" si="216"/>
        <v/>
      </c>
      <c r="BQ124" s="184" t="str">
        <f t="shared" si="217"/>
        <v/>
      </c>
      <c r="BR124" s="184" t="str">
        <f t="shared" si="218"/>
        <v/>
      </c>
      <c r="BS124" s="184" t="str">
        <f t="shared" si="218"/>
        <v/>
      </c>
      <c r="BT124" s="184" t="str">
        <f t="shared" si="218"/>
        <v/>
      </c>
      <c r="BU124" s="184" t="str">
        <f t="shared" si="219"/>
        <v/>
      </c>
      <c r="BV124" s="184" t="str">
        <f t="shared" si="220"/>
        <v/>
      </c>
      <c r="BW124" s="184" t="str">
        <f t="shared" si="221"/>
        <v/>
      </c>
      <c r="BX124" s="184" t="str">
        <f t="shared" si="222"/>
        <v/>
      </c>
      <c r="BY124" s="184" t="str">
        <f t="shared" si="223"/>
        <v/>
      </c>
      <c r="BZ124" s="184" t="str">
        <f t="shared" si="224"/>
        <v/>
      </c>
      <c r="CA124" s="184" t="str">
        <f t="shared" si="225"/>
        <v/>
      </c>
      <c r="CB124" s="184" t="str">
        <f t="shared" si="226"/>
        <v/>
      </c>
      <c r="CC124" s="184" t="str">
        <f t="shared" si="227"/>
        <v/>
      </c>
      <c r="CD124" s="184" t="str">
        <f t="shared" si="228"/>
        <v/>
      </c>
      <c r="CE124" s="184" t="str">
        <f t="shared" si="229"/>
        <v/>
      </c>
      <c r="CF124" s="184" t="str">
        <f t="shared" si="230"/>
        <v/>
      </c>
      <c r="CG124" s="184" t="str">
        <f t="shared" si="231"/>
        <v/>
      </c>
      <c r="CH124" s="184" t="str">
        <f t="shared" si="232"/>
        <v/>
      </c>
      <c r="CI124" s="184" t="str">
        <f t="shared" si="233"/>
        <v/>
      </c>
      <c r="CJ124" s="184" t="str">
        <f t="shared" si="234"/>
        <v/>
      </c>
      <c r="CK124" s="184"/>
      <c r="CM124" s="184"/>
      <c r="CN124"/>
      <c r="CP124"/>
      <c r="CR124"/>
      <c r="CT124"/>
      <c r="CV124"/>
      <c r="CX124"/>
      <c r="CZ124"/>
      <c r="DB124"/>
      <c r="DD124"/>
      <c r="DF124"/>
      <c r="ED124" s="184"/>
      <c r="EF124" s="184"/>
      <c r="EH124" s="184"/>
      <c r="EJ124" s="184"/>
      <c r="EL124" s="184"/>
      <c r="EN124" s="184"/>
      <c r="EP124" s="184"/>
      <c r="ER124" s="184"/>
      <c r="ET124" s="184"/>
      <c r="EV124" s="184"/>
      <c r="EX124" s="184"/>
      <c r="EZ124" s="184"/>
      <c r="FB124" s="184"/>
    </row>
    <row r="125" spans="1:158">
      <c r="A125" s="184">
        <f t="shared" si="193"/>
        <v>-7.5</v>
      </c>
      <c r="B125" s="18">
        <f t="shared" si="235"/>
        <v>2424.9999999999918</v>
      </c>
      <c r="C125" s="18">
        <f t="shared" si="236"/>
        <v>2250</v>
      </c>
      <c r="D125" s="18">
        <f t="shared" si="237"/>
        <v>2899.9999999999973</v>
      </c>
      <c r="E125" s="18">
        <f t="shared" si="238"/>
        <v>5000</v>
      </c>
      <c r="F125" s="18">
        <f t="shared" si="239"/>
        <v>3050.0000000000068</v>
      </c>
      <c r="G125" s="18">
        <f t="shared" si="240"/>
        <v>3125.0000000000041</v>
      </c>
      <c r="H125" s="18">
        <f t="shared" si="241"/>
        <v>2775.0000000000032</v>
      </c>
      <c r="I125" s="18">
        <f t="shared" si="242"/>
        <v>2550</v>
      </c>
      <c r="J125" s="18">
        <f t="shared" si="243"/>
        <v>3174.9999999999964</v>
      </c>
      <c r="K125" s="18">
        <f t="shared" si="244"/>
        <v>3649.9999999999986</v>
      </c>
      <c r="L125" s="18">
        <f t="shared" si="245"/>
        <v>3725.0000000000191</v>
      </c>
      <c r="M125" s="18">
        <f t="shared" si="246"/>
        <v>7225</v>
      </c>
      <c r="N125" s="18">
        <f t="shared" si="247"/>
        <v>4994.5000000000009</v>
      </c>
      <c r="O125" s="18">
        <f t="shared" si="248"/>
        <v>7147.2000000000035</v>
      </c>
      <c r="P125" s="18">
        <f t="shared" si="249"/>
        <v>10208</v>
      </c>
      <c r="Q125" s="18">
        <f t="shared" si="250"/>
        <v>8534</v>
      </c>
      <c r="R125" s="18">
        <f t="shared" si="251"/>
        <v>13608.000000000002</v>
      </c>
      <c r="S125" s="18"/>
      <c r="T125" s="18"/>
      <c r="U125" s="18"/>
      <c r="V125" s="18"/>
      <c r="W125" s="18"/>
      <c r="X125" s="18">
        <f t="shared" si="170"/>
        <v>24474.375000000004</v>
      </c>
      <c r="Y125" s="18">
        <f t="shared" si="252"/>
        <v>19194.999999999909</v>
      </c>
      <c r="Z125" s="18">
        <f t="shared" si="171"/>
        <v>19950</v>
      </c>
      <c r="AA125" s="18">
        <f t="shared" si="172"/>
        <v>25650</v>
      </c>
      <c r="AB125" s="18">
        <f t="shared" si="173"/>
        <v>29975</v>
      </c>
      <c r="AC125" s="18">
        <f t="shared" si="183"/>
        <v>7182.3333333333312</v>
      </c>
      <c r="AD125" s="18">
        <f t="shared" si="184"/>
        <v>8900.3333333333376</v>
      </c>
      <c r="AE125" s="18">
        <f t="shared" si="185"/>
        <v>11222.333333333338</v>
      </c>
      <c r="AF125" s="18">
        <f t="shared" si="186"/>
        <v>15726.333333333338</v>
      </c>
      <c r="AG125" s="18">
        <f t="shared" si="187"/>
        <v>16781.333333333325</v>
      </c>
      <c r="AH125" s="18">
        <f t="shared" si="188"/>
        <v>8656.3333333333376</v>
      </c>
      <c r="AI125" s="18">
        <f t="shared" si="189"/>
        <v>10316.333333333338</v>
      </c>
      <c r="AJ125" s="18">
        <f t="shared" si="190"/>
        <v>15366.333333333338</v>
      </c>
      <c r="AK125" s="18">
        <f t="shared" si="191"/>
        <v>18006.333333333325</v>
      </c>
      <c r="AL125" s="18">
        <f t="shared" si="175"/>
        <v>16500</v>
      </c>
      <c r="AM125" s="18">
        <f t="shared" si="176"/>
        <v>18750</v>
      </c>
      <c r="AN125" s="18">
        <f t="shared" si="177"/>
        <v>21450</v>
      </c>
      <c r="AO125" s="18">
        <f t="shared" si="178"/>
        <v>33750</v>
      </c>
      <c r="AP125" s="18">
        <f t="shared" si="179"/>
        <v>36000</v>
      </c>
      <c r="AQ125" s="18">
        <f t="shared" si="180"/>
        <v>40500</v>
      </c>
      <c r="AR125" s="18">
        <f t="shared" si="181"/>
        <v>110400</v>
      </c>
      <c r="AS125" s="18">
        <f t="shared" si="192"/>
        <v>45000</v>
      </c>
      <c r="AT125" s="184" t="str">
        <f t="shared" si="194"/>
        <v/>
      </c>
      <c r="AU125" s="184" t="str">
        <f t="shared" si="195"/>
        <v/>
      </c>
      <c r="AV125" s="184" t="str">
        <f t="shared" si="196"/>
        <v/>
      </c>
      <c r="AW125" s="184" t="str">
        <f t="shared" si="197"/>
        <v/>
      </c>
      <c r="AX125" s="184" t="str">
        <f t="shared" si="198"/>
        <v/>
      </c>
      <c r="AY125" s="184" t="str">
        <f t="shared" si="199"/>
        <v/>
      </c>
      <c r="AZ125" s="184" t="str">
        <f t="shared" si="200"/>
        <v/>
      </c>
      <c r="BA125" s="184" t="str">
        <f t="shared" si="201"/>
        <v/>
      </c>
      <c r="BB125" s="184" t="str">
        <f t="shared" si="202"/>
        <v/>
      </c>
      <c r="BC125" s="184" t="str">
        <f t="shared" si="203"/>
        <v/>
      </c>
      <c r="BD125" s="184" t="str">
        <f t="shared" si="204"/>
        <v/>
      </c>
      <c r="BE125" s="184" t="str">
        <f t="shared" si="205"/>
        <v/>
      </c>
      <c r="BF125" s="184" t="str">
        <f t="shared" si="206"/>
        <v/>
      </c>
      <c r="BG125" s="184" t="str">
        <f t="shared" si="207"/>
        <v/>
      </c>
      <c r="BH125" s="184" t="str">
        <f t="shared" si="208"/>
        <v/>
      </c>
      <c r="BI125" s="184" t="str">
        <f t="shared" si="209"/>
        <v/>
      </c>
      <c r="BJ125" s="184" t="str">
        <f t="shared" si="210"/>
        <v/>
      </c>
      <c r="BK125" s="184" t="str">
        <f t="shared" si="211"/>
        <v/>
      </c>
      <c r="BL125" s="184" t="str">
        <f t="shared" si="212"/>
        <v/>
      </c>
      <c r="BM125" s="184" t="str">
        <f t="shared" si="213"/>
        <v/>
      </c>
      <c r="BN125" s="184" t="str">
        <f t="shared" si="214"/>
        <v/>
      </c>
      <c r="BO125" s="184" t="str">
        <f t="shared" si="215"/>
        <v/>
      </c>
      <c r="BP125" s="184" t="str">
        <f t="shared" si="216"/>
        <v/>
      </c>
      <c r="BQ125" s="184" t="str">
        <f t="shared" si="217"/>
        <v/>
      </c>
      <c r="BR125" s="184" t="str">
        <f t="shared" si="218"/>
        <v/>
      </c>
      <c r="BS125" s="184" t="str">
        <f t="shared" si="218"/>
        <v/>
      </c>
      <c r="BT125" s="184" t="str">
        <f t="shared" si="218"/>
        <v/>
      </c>
      <c r="BU125" s="184" t="str">
        <f t="shared" si="219"/>
        <v/>
      </c>
      <c r="BV125" s="184" t="str">
        <f t="shared" si="220"/>
        <v/>
      </c>
      <c r="BW125" s="184" t="str">
        <f t="shared" si="221"/>
        <v/>
      </c>
      <c r="BX125" s="184" t="str">
        <f t="shared" si="222"/>
        <v/>
      </c>
      <c r="BY125" s="184" t="str">
        <f t="shared" si="223"/>
        <v/>
      </c>
      <c r="BZ125" s="184" t="str">
        <f t="shared" si="224"/>
        <v/>
      </c>
      <c r="CA125" s="184" t="str">
        <f t="shared" si="225"/>
        <v/>
      </c>
      <c r="CB125" s="184" t="str">
        <f t="shared" si="226"/>
        <v/>
      </c>
      <c r="CC125" s="184" t="str">
        <f t="shared" si="227"/>
        <v/>
      </c>
      <c r="CD125" s="184" t="str">
        <f t="shared" si="228"/>
        <v/>
      </c>
      <c r="CE125" s="184" t="str">
        <f t="shared" si="229"/>
        <v/>
      </c>
      <c r="CF125" s="184" t="str">
        <f t="shared" si="230"/>
        <v/>
      </c>
      <c r="CG125" s="184" t="str">
        <f t="shared" si="231"/>
        <v/>
      </c>
      <c r="CH125" s="184" t="str">
        <f t="shared" si="232"/>
        <v/>
      </c>
      <c r="CI125" s="184" t="str">
        <f t="shared" si="233"/>
        <v/>
      </c>
      <c r="CJ125" s="184" t="str">
        <f t="shared" si="234"/>
        <v/>
      </c>
      <c r="CK125" s="184"/>
      <c r="CM125" s="184"/>
      <c r="CN125"/>
      <c r="CP125"/>
      <c r="CR125"/>
      <c r="CT125"/>
      <c r="CV125"/>
      <c r="CX125"/>
      <c r="CZ125"/>
      <c r="DB125"/>
      <c r="DD125"/>
      <c r="DF125"/>
      <c r="ED125" s="184"/>
      <c r="EF125" s="184"/>
      <c r="EH125" s="184"/>
      <c r="EJ125" s="184"/>
      <c r="EL125" s="184"/>
      <c r="EN125" s="184"/>
      <c r="EP125" s="184"/>
      <c r="ER125" s="184"/>
      <c r="ET125" s="184"/>
      <c r="EV125" s="184"/>
      <c r="EX125" s="184"/>
      <c r="EZ125" s="184"/>
      <c r="FB125" s="184"/>
    </row>
    <row r="126" spans="1:158">
      <c r="A126" s="184">
        <f t="shared" si="193"/>
        <v>-7</v>
      </c>
      <c r="B126" s="18">
        <f t="shared" si="235"/>
        <v>2519.9999999999923</v>
      </c>
      <c r="C126" s="18">
        <f t="shared" si="236"/>
        <v>2400</v>
      </c>
      <c r="D126" s="18">
        <f t="shared" si="237"/>
        <v>3099.9999999999977</v>
      </c>
      <c r="E126" s="18">
        <f t="shared" si="238"/>
        <v>5180</v>
      </c>
      <c r="F126" s="18">
        <f t="shared" si="239"/>
        <v>3120.0000000000064</v>
      </c>
      <c r="G126" s="18">
        <f t="shared" si="240"/>
        <v>3240.0000000000036</v>
      </c>
      <c r="H126" s="18">
        <f t="shared" si="241"/>
        <v>2980.0000000000027</v>
      </c>
      <c r="I126" s="18">
        <f t="shared" si="242"/>
        <v>2640</v>
      </c>
      <c r="J126" s="18">
        <f t="shared" si="243"/>
        <v>3299.9999999999968</v>
      </c>
      <c r="K126" s="18">
        <f t="shared" si="244"/>
        <v>3819.9999999999991</v>
      </c>
      <c r="L126" s="18">
        <f t="shared" si="245"/>
        <v>3940.0000000000182</v>
      </c>
      <c r="M126" s="18">
        <f t="shared" si="246"/>
        <v>7420</v>
      </c>
      <c r="N126" s="18">
        <f t="shared" si="247"/>
        <v>5153.0000000000009</v>
      </c>
      <c r="O126" s="18">
        <f t="shared" si="248"/>
        <v>7257.6000000000031</v>
      </c>
      <c r="P126" s="18">
        <f t="shared" si="249"/>
        <v>10344</v>
      </c>
      <c r="Q126" s="18">
        <f t="shared" si="250"/>
        <v>8796</v>
      </c>
      <c r="R126" s="18">
        <f t="shared" si="251"/>
        <v>13872.000000000002</v>
      </c>
      <c r="S126" s="18"/>
      <c r="T126" s="18"/>
      <c r="U126" s="18"/>
      <c r="V126" s="18"/>
      <c r="W126" s="18"/>
      <c r="X126" s="18">
        <f t="shared" si="170"/>
        <v>24705.000000000004</v>
      </c>
      <c r="Y126" s="18">
        <f t="shared" si="252"/>
        <v>19723.999999999913</v>
      </c>
      <c r="Z126" s="18">
        <f t="shared" si="171"/>
        <v>20160</v>
      </c>
      <c r="AA126" s="18">
        <f t="shared" si="172"/>
        <v>25920</v>
      </c>
      <c r="AB126" s="18">
        <f t="shared" si="173"/>
        <v>30360</v>
      </c>
      <c r="AC126" s="18">
        <f t="shared" si="183"/>
        <v>7249.9999999999982</v>
      </c>
      <c r="AD126" s="18">
        <f t="shared" si="184"/>
        <v>8968.0000000000036</v>
      </c>
      <c r="AE126" s="18">
        <f t="shared" si="185"/>
        <v>11290.000000000004</v>
      </c>
      <c r="AF126" s="18">
        <f t="shared" si="186"/>
        <v>15794.000000000004</v>
      </c>
      <c r="AG126" s="18">
        <f t="shared" si="187"/>
        <v>16848.999999999993</v>
      </c>
      <c r="AH126" s="18">
        <f t="shared" si="188"/>
        <v>8724.0000000000036</v>
      </c>
      <c r="AI126" s="18">
        <f t="shared" si="189"/>
        <v>10384.000000000004</v>
      </c>
      <c r="AJ126" s="18">
        <f t="shared" si="190"/>
        <v>15434.000000000004</v>
      </c>
      <c r="AK126" s="18">
        <f t="shared" si="191"/>
        <v>18073.999999999993</v>
      </c>
      <c r="AL126" s="18">
        <f t="shared" si="175"/>
        <v>16720</v>
      </c>
      <c r="AM126" s="18">
        <f t="shared" si="176"/>
        <v>19000</v>
      </c>
      <c r="AN126" s="18">
        <f t="shared" si="177"/>
        <v>21736</v>
      </c>
      <c r="AO126" s="18">
        <f t="shared" si="178"/>
        <v>34200</v>
      </c>
      <c r="AP126" s="18">
        <f t="shared" si="179"/>
        <v>36480</v>
      </c>
      <c r="AQ126" s="18">
        <f t="shared" si="180"/>
        <v>41040</v>
      </c>
      <c r="AR126" s="18">
        <f t="shared" si="181"/>
        <v>111872</v>
      </c>
      <c r="AS126" s="18">
        <f t="shared" si="192"/>
        <v>45000</v>
      </c>
      <c r="AT126" s="184" t="str">
        <f t="shared" si="194"/>
        <v/>
      </c>
      <c r="AU126" s="184" t="str">
        <f t="shared" si="195"/>
        <v/>
      </c>
      <c r="AV126" s="184" t="str">
        <f t="shared" si="196"/>
        <v/>
      </c>
      <c r="AW126" s="184" t="str">
        <f t="shared" si="197"/>
        <v/>
      </c>
      <c r="AX126" s="184" t="str">
        <f t="shared" si="198"/>
        <v/>
      </c>
      <c r="AY126" s="184" t="str">
        <f t="shared" si="199"/>
        <v/>
      </c>
      <c r="AZ126" s="184" t="str">
        <f t="shared" si="200"/>
        <v/>
      </c>
      <c r="BA126" s="184" t="str">
        <f t="shared" si="201"/>
        <v/>
      </c>
      <c r="BB126" s="184" t="str">
        <f t="shared" si="202"/>
        <v/>
      </c>
      <c r="BC126" s="184" t="str">
        <f t="shared" si="203"/>
        <v/>
      </c>
      <c r="BD126" s="184" t="str">
        <f t="shared" si="204"/>
        <v/>
      </c>
      <c r="BE126" s="184" t="str">
        <f t="shared" si="205"/>
        <v/>
      </c>
      <c r="BF126" s="184" t="str">
        <f t="shared" si="206"/>
        <v/>
      </c>
      <c r="BG126" s="184" t="str">
        <f t="shared" si="207"/>
        <v/>
      </c>
      <c r="BH126" s="184" t="str">
        <f t="shared" si="208"/>
        <v/>
      </c>
      <c r="BI126" s="184" t="str">
        <f t="shared" si="209"/>
        <v/>
      </c>
      <c r="BJ126" s="184" t="str">
        <f t="shared" si="210"/>
        <v/>
      </c>
      <c r="BK126" s="184" t="str">
        <f t="shared" si="211"/>
        <v/>
      </c>
      <c r="BL126" s="184" t="str">
        <f t="shared" si="212"/>
        <v/>
      </c>
      <c r="BM126" s="184" t="str">
        <f t="shared" si="213"/>
        <v/>
      </c>
      <c r="BN126" s="184" t="str">
        <f t="shared" si="214"/>
        <v/>
      </c>
      <c r="BO126" s="184" t="str">
        <f t="shared" si="215"/>
        <v/>
      </c>
      <c r="BP126" s="184" t="str">
        <f t="shared" si="216"/>
        <v/>
      </c>
      <c r="BQ126" s="184" t="str">
        <f t="shared" si="217"/>
        <v/>
      </c>
      <c r="BR126" s="184" t="str">
        <f t="shared" si="218"/>
        <v/>
      </c>
      <c r="BS126" s="184" t="str">
        <f t="shared" si="218"/>
        <v/>
      </c>
      <c r="BT126" s="184" t="str">
        <f t="shared" si="218"/>
        <v/>
      </c>
      <c r="BU126" s="184" t="str">
        <f t="shared" si="219"/>
        <v/>
      </c>
      <c r="BV126" s="184" t="str">
        <f t="shared" si="220"/>
        <v/>
      </c>
      <c r="BW126" s="184" t="str">
        <f t="shared" si="221"/>
        <v/>
      </c>
      <c r="BX126" s="184" t="str">
        <f t="shared" si="222"/>
        <v/>
      </c>
      <c r="BY126" s="184" t="str">
        <f t="shared" si="223"/>
        <v/>
      </c>
      <c r="BZ126" s="184" t="str">
        <f t="shared" si="224"/>
        <v/>
      </c>
      <c r="CA126" s="184" t="str">
        <f t="shared" si="225"/>
        <v/>
      </c>
      <c r="CB126" s="184" t="str">
        <f t="shared" si="226"/>
        <v/>
      </c>
      <c r="CC126" s="184" t="str">
        <f t="shared" si="227"/>
        <v/>
      </c>
      <c r="CD126" s="184" t="str">
        <f t="shared" si="228"/>
        <v/>
      </c>
      <c r="CE126" s="184" t="str">
        <f t="shared" si="229"/>
        <v/>
      </c>
      <c r="CF126" s="184" t="str">
        <f t="shared" si="230"/>
        <v/>
      </c>
      <c r="CG126" s="184" t="str">
        <f t="shared" si="231"/>
        <v/>
      </c>
      <c r="CH126" s="184" t="str">
        <f t="shared" si="232"/>
        <v/>
      </c>
      <c r="CI126" s="184" t="str">
        <f t="shared" si="233"/>
        <v/>
      </c>
      <c r="CJ126" s="184" t="str">
        <f t="shared" si="234"/>
        <v/>
      </c>
      <c r="CK126" s="184"/>
      <c r="CM126" s="184"/>
      <c r="CN126"/>
      <c r="CP126"/>
      <c r="CR126"/>
      <c r="CT126"/>
      <c r="CV126"/>
      <c r="CX126"/>
      <c r="CZ126"/>
      <c r="DB126"/>
      <c r="DD126"/>
      <c r="DF126"/>
      <c r="ED126" s="184"/>
      <c r="EF126" s="184"/>
      <c r="EH126" s="184"/>
      <c r="EJ126" s="184"/>
      <c r="EL126" s="184"/>
      <c r="EN126" s="184"/>
      <c r="EP126" s="184"/>
      <c r="ER126" s="184"/>
      <c r="ET126" s="184"/>
      <c r="EV126" s="184"/>
      <c r="EX126" s="184"/>
      <c r="EZ126" s="184"/>
      <c r="FB126" s="184"/>
    </row>
    <row r="127" spans="1:158">
      <c r="A127" s="184">
        <f t="shared" si="193"/>
        <v>-6.5</v>
      </c>
      <c r="B127" s="18">
        <f t="shared" si="235"/>
        <v>2614.9999999999927</v>
      </c>
      <c r="C127" s="18">
        <f t="shared" si="236"/>
        <v>2550</v>
      </c>
      <c r="D127" s="18">
        <f t="shared" si="237"/>
        <v>3299.9999999999982</v>
      </c>
      <c r="E127" s="18">
        <f t="shared" si="238"/>
        <v>5360</v>
      </c>
      <c r="F127" s="18">
        <f t="shared" si="239"/>
        <v>3190.0000000000059</v>
      </c>
      <c r="G127" s="18">
        <f t="shared" si="240"/>
        <v>3355.0000000000032</v>
      </c>
      <c r="H127" s="18">
        <f t="shared" si="241"/>
        <v>3185.0000000000023</v>
      </c>
      <c r="I127" s="18">
        <f t="shared" si="242"/>
        <v>2730</v>
      </c>
      <c r="J127" s="18">
        <f t="shared" si="243"/>
        <v>3424.9999999999973</v>
      </c>
      <c r="K127" s="18">
        <f t="shared" si="244"/>
        <v>3989.9999999999995</v>
      </c>
      <c r="L127" s="18">
        <f t="shared" si="245"/>
        <v>4155.0000000000173</v>
      </c>
      <c r="M127" s="18">
        <f t="shared" si="246"/>
        <v>7615</v>
      </c>
      <c r="N127" s="18">
        <f t="shared" si="247"/>
        <v>5311.5000000000009</v>
      </c>
      <c r="O127" s="18">
        <f t="shared" si="248"/>
        <v>7368.0000000000027</v>
      </c>
      <c r="P127" s="18">
        <f t="shared" si="249"/>
        <v>10480</v>
      </c>
      <c r="Q127" s="18">
        <f t="shared" si="250"/>
        <v>9058</v>
      </c>
      <c r="R127" s="18">
        <f t="shared" si="251"/>
        <v>14136.000000000002</v>
      </c>
      <c r="S127" s="18"/>
      <c r="T127" s="18"/>
      <c r="U127" s="18"/>
      <c r="V127" s="18"/>
      <c r="W127" s="18"/>
      <c r="X127" s="18">
        <f t="shared" si="170"/>
        <v>24935.625000000004</v>
      </c>
      <c r="Y127" s="18">
        <f t="shared" si="252"/>
        <v>20252.999999999916</v>
      </c>
      <c r="Z127" s="18">
        <f t="shared" si="171"/>
        <v>20370</v>
      </c>
      <c r="AA127" s="18">
        <f t="shared" si="172"/>
        <v>26190</v>
      </c>
      <c r="AB127" s="18">
        <f t="shared" si="173"/>
        <v>30745</v>
      </c>
      <c r="AC127" s="18">
        <f t="shared" si="183"/>
        <v>7317.6666666666652</v>
      </c>
      <c r="AD127" s="18">
        <f t="shared" si="184"/>
        <v>9035.6666666666697</v>
      </c>
      <c r="AE127" s="18">
        <f t="shared" si="185"/>
        <v>11357.66666666667</v>
      </c>
      <c r="AF127" s="18">
        <f t="shared" si="186"/>
        <v>15861.66666666667</v>
      </c>
      <c r="AG127" s="18">
        <f t="shared" si="187"/>
        <v>16916.666666666661</v>
      </c>
      <c r="AH127" s="18">
        <f t="shared" si="188"/>
        <v>8791.6666666666697</v>
      </c>
      <c r="AI127" s="18">
        <f t="shared" si="189"/>
        <v>10451.66666666667</v>
      </c>
      <c r="AJ127" s="18">
        <f t="shared" si="190"/>
        <v>15501.66666666667</v>
      </c>
      <c r="AK127" s="18">
        <f t="shared" si="191"/>
        <v>18141.666666666661</v>
      </c>
      <c r="AL127" s="18">
        <f t="shared" si="175"/>
        <v>16940</v>
      </c>
      <c r="AM127" s="18">
        <f t="shared" si="176"/>
        <v>19250</v>
      </c>
      <c r="AN127" s="18">
        <f t="shared" si="177"/>
        <v>22022</v>
      </c>
      <c r="AO127" s="18">
        <f t="shared" si="178"/>
        <v>34650</v>
      </c>
      <c r="AP127" s="18">
        <f t="shared" si="179"/>
        <v>36960</v>
      </c>
      <c r="AQ127" s="18">
        <f t="shared" si="180"/>
        <v>41580</v>
      </c>
      <c r="AR127" s="18">
        <f t="shared" si="181"/>
        <v>113344</v>
      </c>
      <c r="AS127" s="18">
        <f t="shared" si="192"/>
        <v>45000</v>
      </c>
      <c r="AT127" s="184" t="str">
        <f t="shared" si="194"/>
        <v/>
      </c>
      <c r="AU127" s="184" t="str">
        <f t="shared" si="195"/>
        <v/>
      </c>
      <c r="AV127" s="184" t="str">
        <f t="shared" si="196"/>
        <v/>
      </c>
      <c r="AW127" s="184" t="str">
        <f t="shared" si="197"/>
        <v/>
      </c>
      <c r="AX127" s="184" t="str">
        <f t="shared" si="198"/>
        <v/>
      </c>
      <c r="AY127" s="184" t="str">
        <f t="shared" si="199"/>
        <v/>
      </c>
      <c r="AZ127" s="184" t="str">
        <f t="shared" si="200"/>
        <v/>
      </c>
      <c r="BA127" s="184" t="str">
        <f t="shared" si="201"/>
        <v/>
      </c>
      <c r="BB127" s="184" t="str">
        <f t="shared" si="202"/>
        <v/>
      </c>
      <c r="BC127" s="184" t="str">
        <f t="shared" si="203"/>
        <v/>
      </c>
      <c r="BD127" s="184" t="str">
        <f t="shared" si="204"/>
        <v/>
      </c>
      <c r="BE127" s="184" t="str">
        <f t="shared" si="205"/>
        <v/>
      </c>
      <c r="BF127" s="184" t="str">
        <f t="shared" si="206"/>
        <v/>
      </c>
      <c r="BG127" s="184" t="str">
        <f t="shared" si="207"/>
        <v/>
      </c>
      <c r="BH127" s="184" t="str">
        <f t="shared" si="208"/>
        <v/>
      </c>
      <c r="BI127" s="184" t="str">
        <f t="shared" si="209"/>
        <v/>
      </c>
      <c r="BJ127" s="184" t="str">
        <f t="shared" si="210"/>
        <v/>
      </c>
      <c r="BK127" s="184" t="str">
        <f t="shared" si="211"/>
        <v/>
      </c>
      <c r="BL127" s="184" t="str">
        <f t="shared" si="212"/>
        <v/>
      </c>
      <c r="BM127" s="184" t="str">
        <f t="shared" si="213"/>
        <v/>
      </c>
      <c r="BN127" s="184" t="str">
        <f t="shared" si="214"/>
        <v/>
      </c>
      <c r="BO127" s="184" t="str">
        <f t="shared" si="215"/>
        <v/>
      </c>
      <c r="BP127" s="184" t="str">
        <f t="shared" si="216"/>
        <v/>
      </c>
      <c r="BQ127" s="184" t="str">
        <f t="shared" si="217"/>
        <v/>
      </c>
      <c r="BR127" s="184" t="str">
        <f t="shared" si="218"/>
        <v/>
      </c>
      <c r="BS127" s="184" t="str">
        <f t="shared" si="218"/>
        <v/>
      </c>
      <c r="BT127" s="184" t="str">
        <f t="shared" si="218"/>
        <v/>
      </c>
      <c r="BU127" s="184" t="str">
        <f t="shared" si="219"/>
        <v/>
      </c>
      <c r="BV127" s="184" t="str">
        <f t="shared" si="220"/>
        <v/>
      </c>
      <c r="BW127" s="184" t="str">
        <f t="shared" si="221"/>
        <v/>
      </c>
      <c r="BX127" s="184" t="str">
        <f t="shared" si="222"/>
        <v/>
      </c>
      <c r="BY127" s="184" t="str">
        <f t="shared" si="223"/>
        <v/>
      </c>
      <c r="BZ127" s="184" t="str">
        <f t="shared" si="224"/>
        <v/>
      </c>
      <c r="CA127" s="184" t="str">
        <f t="shared" si="225"/>
        <v/>
      </c>
      <c r="CB127" s="184" t="str">
        <f t="shared" si="226"/>
        <v/>
      </c>
      <c r="CC127" s="184" t="str">
        <f t="shared" si="227"/>
        <v/>
      </c>
      <c r="CD127" s="184" t="str">
        <f t="shared" si="228"/>
        <v/>
      </c>
      <c r="CE127" s="184" t="str">
        <f t="shared" si="229"/>
        <v/>
      </c>
      <c r="CF127" s="184" t="str">
        <f t="shared" si="230"/>
        <v/>
      </c>
      <c r="CG127" s="184" t="str">
        <f t="shared" si="231"/>
        <v/>
      </c>
      <c r="CH127" s="184" t="str">
        <f t="shared" si="232"/>
        <v/>
      </c>
      <c r="CI127" s="184" t="str">
        <f t="shared" si="233"/>
        <v/>
      </c>
      <c r="CJ127" s="184" t="str">
        <f t="shared" si="234"/>
        <v/>
      </c>
      <c r="CK127" s="184"/>
      <c r="CM127" s="184"/>
      <c r="CN127"/>
      <c r="CP127"/>
      <c r="CR127"/>
      <c r="CT127"/>
      <c r="CV127"/>
      <c r="CX127"/>
      <c r="CZ127"/>
      <c r="DB127"/>
      <c r="DD127"/>
      <c r="DF127"/>
      <c r="ED127" s="184"/>
      <c r="EF127" s="184"/>
      <c r="EH127" s="184"/>
      <c r="EJ127" s="184"/>
      <c r="EL127" s="184"/>
      <c r="EN127" s="184"/>
      <c r="EP127" s="184"/>
      <c r="ER127" s="184"/>
      <c r="ET127" s="184"/>
      <c r="EV127" s="184"/>
      <c r="EX127" s="184"/>
      <c r="EZ127" s="184"/>
      <c r="FB127" s="184"/>
    </row>
    <row r="128" spans="1:158">
      <c r="A128" s="184">
        <f t="shared" si="193"/>
        <v>-6</v>
      </c>
      <c r="B128" s="18">
        <f t="shared" si="235"/>
        <v>2709.9999999999932</v>
      </c>
      <c r="C128" s="18">
        <f t="shared" si="236"/>
        <v>2700</v>
      </c>
      <c r="D128" s="18">
        <f t="shared" si="237"/>
        <v>3499.9999999999986</v>
      </c>
      <c r="E128" s="18">
        <f t="shared" si="238"/>
        <v>5540</v>
      </c>
      <c r="F128" s="18">
        <f t="shared" si="239"/>
        <v>3260.0000000000055</v>
      </c>
      <c r="G128" s="18">
        <f t="shared" si="240"/>
        <v>3470.0000000000027</v>
      </c>
      <c r="H128" s="18">
        <f t="shared" si="241"/>
        <v>3390.0000000000018</v>
      </c>
      <c r="I128" s="18">
        <f t="shared" si="242"/>
        <v>2820</v>
      </c>
      <c r="J128" s="18">
        <f t="shared" si="243"/>
        <v>3549.9999999999977</v>
      </c>
      <c r="K128" s="18">
        <f t="shared" si="244"/>
        <v>4160</v>
      </c>
      <c r="L128" s="18">
        <f t="shared" si="245"/>
        <v>4370.0000000000164</v>
      </c>
      <c r="M128" s="18">
        <f t="shared" si="246"/>
        <v>7810</v>
      </c>
      <c r="N128" s="18">
        <f t="shared" si="247"/>
        <v>5470.0000000000009</v>
      </c>
      <c r="O128" s="18">
        <f t="shared" si="248"/>
        <v>7478.4000000000024</v>
      </c>
      <c r="P128" s="18">
        <f t="shared" si="249"/>
        <v>10616</v>
      </c>
      <c r="Q128" s="18">
        <f t="shared" si="250"/>
        <v>9320</v>
      </c>
      <c r="R128" s="18">
        <f t="shared" si="251"/>
        <v>14400.000000000002</v>
      </c>
      <c r="S128" s="18"/>
      <c r="T128" s="18"/>
      <c r="U128" s="18"/>
      <c r="V128" s="18"/>
      <c r="W128" s="18"/>
      <c r="X128" s="18">
        <f t="shared" si="170"/>
        <v>25166.250000000004</v>
      </c>
      <c r="Y128" s="18">
        <f t="shared" si="252"/>
        <v>20781.99999999992</v>
      </c>
      <c r="Z128" s="18">
        <f t="shared" si="171"/>
        <v>20580</v>
      </c>
      <c r="AA128" s="18">
        <f t="shared" si="172"/>
        <v>26460</v>
      </c>
      <c r="AB128" s="18">
        <f t="shared" si="173"/>
        <v>31130</v>
      </c>
      <c r="AC128" s="18">
        <f t="shared" si="183"/>
        <v>7385.3333333333321</v>
      </c>
      <c r="AD128" s="18">
        <f t="shared" si="184"/>
        <v>9103.3333333333358</v>
      </c>
      <c r="AE128" s="18">
        <f t="shared" si="185"/>
        <v>11425.333333333336</v>
      </c>
      <c r="AF128" s="18">
        <f t="shared" si="186"/>
        <v>15929.333333333336</v>
      </c>
      <c r="AG128" s="18">
        <f t="shared" si="187"/>
        <v>16984.333333333328</v>
      </c>
      <c r="AH128" s="18">
        <f t="shared" si="188"/>
        <v>8859.3333333333358</v>
      </c>
      <c r="AI128" s="18">
        <f t="shared" si="189"/>
        <v>10519.333333333336</v>
      </c>
      <c r="AJ128" s="18">
        <f t="shared" si="190"/>
        <v>15569.333333333336</v>
      </c>
      <c r="AK128" s="18">
        <f t="shared" si="191"/>
        <v>18209.333333333328</v>
      </c>
      <c r="AL128" s="18">
        <f t="shared" si="175"/>
        <v>17160</v>
      </c>
      <c r="AM128" s="18">
        <f t="shared" si="176"/>
        <v>19500</v>
      </c>
      <c r="AN128" s="18">
        <f t="shared" si="177"/>
        <v>22308</v>
      </c>
      <c r="AO128" s="18">
        <f t="shared" si="178"/>
        <v>35100</v>
      </c>
      <c r="AP128" s="18">
        <f t="shared" si="179"/>
        <v>37440</v>
      </c>
      <c r="AQ128" s="18">
        <f t="shared" si="180"/>
        <v>42120</v>
      </c>
      <c r="AR128" s="18">
        <f t="shared" si="181"/>
        <v>114816</v>
      </c>
      <c r="AS128" s="18">
        <f t="shared" si="192"/>
        <v>45000</v>
      </c>
      <c r="AT128" s="184" t="str">
        <f t="shared" si="194"/>
        <v/>
      </c>
      <c r="AU128" s="184" t="str">
        <f t="shared" si="195"/>
        <v/>
      </c>
      <c r="AV128" s="184" t="str">
        <f t="shared" si="196"/>
        <v/>
      </c>
      <c r="AW128" s="184" t="str">
        <f t="shared" si="197"/>
        <v/>
      </c>
      <c r="AX128" s="184" t="str">
        <f t="shared" si="198"/>
        <v/>
      </c>
      <c r="AY128" s="184" t="str">
        <f t="shared" si="199"/>
        <v/>
      </c>
      <c r="AZ128" s="184" t="str">
        <f t="shared" si="200"/>
        <v/>
      </c>
      <c r="BA128" s="184" t="str">
        <f t="shared" si="201"/>
        <v/>
      </c>
      <c r="BB128" s="184" t="str">
        <f t="shared" si="202"/>
        <v/>
      </c>
      <c r="BC128" s="184" t="str">
        <f t="shared" si="203"/>
        <v/>
      </c>
      <c r="BD128" s="184" t="str">
        <f t="shared" si="204"/>
        <v/>
      </c>
      <c r="BE128" s="184" t="str">
        <f t="shared" si="205"/>
        <v/>
      </c>
      <c r="BF128" s="184" t="str">
        <f t="shared" si="206"/>
        <v/>
      </c>
      <c r="BG128" s="184" t="str">
        <f t="shared" si="207"/>
        <v/>
      </c>
      <c r="BH128" s="184" t="str">
        <f t="shared" si="208"/>
        <v/>
      </c>
      <c r="BI128" s="184" t="str">
        <f t="shared" si="209"/>
        <v/>
      </c>
      <c r="BJ128" s="184" t="str">
        <f t="shared" si="210"/>
        <v/>
      </c>
      <c r="BK128" s="184" t="str">
        <f t="shared" si="211"/>
        <v/>
      </c>
      <c r="BL128" s="184" t="str">
        <f t="shared" si="212"/>
        <v/>
      </c>
      <c r="BM128" s="184" t="str">
        <f t="shared" si="213"/>
        <v/>
      </c>
      <c r="BN128" s="184" t="str">
        <f t="shared" si="214"/>
        <v/>
      </c>
      <c r="BO128" s="184" t="str">
        <f t="shared" si="215"/>
        <v/>
      </c>
      <c r="BP128" s="184" t="str">
        <f t="shared" si="216"/>
        <v/>
      </c>
      <c r="BQ128" s="184" t="str">
        <f t="shared" si="217"/>
        <v/>
      </c>
      <c r="BR128" s="184" t="str">
        <f t="shared" si="218"/>
        <v/>
      </c>
      <c r="BS128" s="184" t="str">
        <f t="shared" si="218"/>
        <v/>
      </c>
      <c r="BT128" s="184" t="str">
        <f t="shared" si="218"/>
        <v/>
      </c>
      <c r="BU128" s="184" t="str">
        <f t="shared" si="219"/>
        <v/>
      </c>
      <c r="BV128" s="184" t="str">
        <f t="shared" si="220"/>
        <v/>
      </c>
      <c r="BW128" s="184" t="str">
        <f t="shared" si="221"/>
        <v/>
      </c>
      <c r="BX128" s="184" t="str">
        <f t="shared" si="222"/>
        <v/>
      </c>
      <c r="BY128" s="184" t="str">
        <f t="shared" si="223"/>
        <v/>
      </c>
      <c r="BZ128" s="184" t="str">
        <f t="shared" si="224"/>
        <v/>
      </c>
      <c r="CA128" s="184" t="str">
        <f t="shared" si="225"/>
        <v/>
      </c>
      <c r="CB128" s="184" t="str">
        <f t="shared" si="226"/>
        <v/>
      </c>
      <c r="CC128" s="184" t="str">
        <f t="shared" si="227"/>
        <v/>
      </c>
      <c r="CD128" s="184" t="str">
        <f t="shared" si="228"/>
        <v/>
      </c>
      <c r="CE128" s="184" t="str">
        <f t="shared" si="229"/>
        <v/>
      </c>
      <c r="CF128" s="184" t="str">
        <f t="shared" si="230"/>
        <v/>
      </c>
      <c r="CG128" s="184" t="str">
        <f t="shared" si="231"/>
        <v/>
      </c>
      <c r="CH128" s="184" t="str">
        <f t="shared" si="232"/>
        <v/>
      </c>
      <c r="CI128" s="184" t="str">
        <f t="shared" si="233"/>
        <v/>
      </c>
      <c r="CJ128" s="184" t="str">
        <f t="shared" si="234"/>
        <v/>
      </c>
      <c r="CK128" s="184"/>
      <c r="CM128" s="184"/>
      <c r="CN128"/>
      <c r="CP128"/>
      <c r="CR128"/>
      <c r="CT128"/>
      <c r="CV128"/>
      <c r="CX128"/>
      <c r="CZ128"/>
      <c r="DB128"/>
      <c r="DD128"/>
      <c r="DF128"/>
      <c r="ED128" s="184"/>
      <c r="EF128" s="184"/>
      <c r="EH128" s="184"/>
      <c r="EJ128" s="184"/>
      <c r="EL128" s="184"/>
      <c r="EN128" s="184"/>
      <c r="EP128" s="184"/>
      <c r="ER128" s="184"/>
      <c r="ET128" s="184"/>
      <c r="EV128" s="184"/>
      <c r="EX128" s="184"/>
      <c r="EZ128" s="184"/>
      <c r="FB128" s="184"/>
    </row>
    <row r="129" spans="1:158">
      <c r="A129" s="184">
        <f t="shared" si="193"/>
        <v>-5.5</v>
      </c>
      <c r="B129" s="18">
        <f t="shared" si="235"/>
        <v>2804.9999999999936</v>
      </c>
      <c r="C129" s="18">
        <f t="shared" si="236"/>
        <v>2850</v>
      </c>
      <c r="D129" s="18">
        <f t="shared" si="237"/>
        <v>3699.9999999999991</v>
      </c>
      <c r="E129" s="18">
        <f t="shared" si="238"/>
        <v>5720</v>
      </c>
      <c r="F129" s="18">
        <f t="shared" si="239"/>
        <v>3330.000000000005</v>
      </c>
      <c r="G129" s="18">
        <f t="shared" si="240"/>
        <v>3585.0000000000023</v>
      </c>
      <c r="H129" s="18">
        <f t="shared" si="241"/>
        <v>3595.0000000000014</v>
      </c>
      <c r="I129" s="18">
        <f t="shared" si="242"/>
        <v>2910</v>
      </c>
      <c r="J129" s="18">
        <f t="shared" si="243"/>
        <v>3674.9999999999982</v>
      </c>
      <c r="K129" s="18">
        <f t="shared" si="244"/>
        <v>4330</v>
      </c>
      <c r="L129" s="18">
        <f t="shared" si="245"/>
        <v>4585.0000000000155</v>
      </c>
      <c r="M129" s="18">
        <f t="shared" si="246"/>
        <v>8005</v>
      </c>
      <c r="N129" s="18">
        <f t="shared" si="247"/>
        <v>5628.5000000000009</v>
      </c>
      <c r="O129" s="18">
        <f t="shared" si="248"/>
        <v>7588.800000000002</v>
      </c>
      <c r="P129" s="18">
        <f t="shared" si="249"/>
        <v>10752</v>
      </c>
      <c r="Q129" s="18">
        <f t="shared" si="250"/>
        <v>9582</v>
      </c>
      <c r="R129" s="18">
        <f t="shared" si="251"/>
        <v>14664.000000000002</v>
      </c>
      <c r="S129" s="18"/>
      <c r="T129" s="18"/>
      <c r="U129" s="18"/>
      <c r="V129" s="18"/>
      <c r="W129" s="18"/>
      <c r="X129" s="18">
        <f t="shared" si="170"/>
        <v>25396.875000000004</v>
      </c>
      <c r="Y129" s="18">
        <f t="shared" si="252"/>
        <v>21310.999999999924</v>
      </c>
      <c r="Z129" s="18">
        <f t="shared" si="171"/>
        <v>20790</v>
      </c>
      <c r="AA129" s="18">
        <f t="shared" si="172"/>
        <v>26730</v>
      </c>
      <c r="AB129" s="18">
        <f t="shared" si="173"/>
        <v>31515</v>
      </c>
      <c r="AC129" s="18">
        <f t="shared" si="183"/>
        <v>7452.9999999999991</v>
      </c>
      <c r="AD129" s="18">
        <f t="shared" si="184"/>
        <v>9171.0000000000018</v>
      </c>
      <c r="AE129" s="18">
        <f t="shared" si="185"/>
        <v>11493.000000000002</v>
      </c>
      <c r="AF129" s="18">
        <f t="shared" si="186"/>
        <v>15997.000000000002</v>
      </c>
      <c r="AG129" s="18">
        <f t="shared" si="187"/>
        <v>17051.999999999996</v>
      </c>
      <c r="AH129" s="18">
        <f t="shared" si="188"/>
        <v>8927.0000000000018</v>
      </c>
      <c r="AI129" s="18">
        <f t="shared" si="189"/>
        <v>10587.000000000002</v>
      </c>
      <c r="AJ129" s="18">
        <f t="shared" si="190"/>
        <v>15637.000000000002</v>
      </c>
      <c r="AK129" s="18">
        <f t="shared" si="191"/>
        <v>18276.999999999996</v>
      </c>
      <c r="AL129" s="18">
        <f t="shared" si="175"/>
        <v>17380</v>
      </c>
      <c r="AM129" s="18">
        <f t="shared" si="176"/>
        <v>19750</v>
      </c>
      <c r="AN129" s="18">
        <f t="shared" si="177"/>
        <v>22594</v>
      </c>
      <c r="AO129" s="18">
        <f t="shared" si="178"/>
        <v>35550</v>
      </c>
      <c r="AP129" s="18">
        <f t="shared" si="179"/>
        <v>37920</v>
      </c>
      <c r="AQ129" s="18">
        <f t="shared" si="180"/>
        <v>42660</v>
      </c>
      <c r="AR129" s="18">
        <f t="shared" si="181"/>
        <v>116288</v>
      </c>
      <c r="AS129" s="18">
        <f t="shared" si="192"/>
        <v>45000</v>
      </c>
      <c r="AT129" s="184" t="str">
        <f t="shared" si="194"/>
        <v/>
      </c>
      <c r="AU129" s="184" t="str">
        <f t="shared" si="195"/>
        <v/>
      </c>
      <c r="AV129" s="184" t="str">
        <f t="shared" si="196"/>
        <v/>
      </c>
      <c r="AW129" s="184" t="str">
        <f t="shared" si="197"/>
        <v/>
      </c>
      <c r="AX129" s="184" t="str">
        <f t="shared" si="198"/>
        <v/>
      </c>
      <c r="AY129" s="184" t="str">
        <f t="shared" si="199"/>
        <v/>
      </c>
      <c r="AZ129" s="184" t="str">
        <f t="shared" si="200"/>
        <v/>
      </c>
      <c r="BA129" s="184" t="str">
        <f t="shared" si="201"/>
        <v/>
      </c>
      <c r="BB129" s="184" t="str">
        <f t="shared" si="202"/>
        <v/>
      </c>
      <c r="BC129" s="184" t="str">
        <f t="shared" si="203"/>
        <v/>
      </c>
      <c r="BD129" s="184" t="str">
        <f t="shared" si="204"/>
        <v/>
      </c>
      <c r="BE129" s="184" t="str">
        <f t="shared" si="205"/>
        <v/>
      </c>
      <c r="BF129" s="184" t="str">
        <f t="shared" si="206"/>
        <v/>
      </c>
      <c r="BG129" s="184" t="str">
        <f t="shared" si="207"/>
        <v/>
      </c>
      <c r="BH129" s="184" t="str">
        <f t="shared" si="208"/>
        <v/>
      </c>
      <c r="BI129" s="184" t="str">
        <f t="shared" si="209"/>
        <v/>
      </c>
      <c r="BJ129" s="184" t="str">
        <f t="shared" si="210"/>
        <v/>
      </c>
      <c r="BK129" s="184" t="str">
        <f t="shared" si="211"/>
        <v/>
      </c>
      <c r="BL129" s="184" t="str">
        <f t="shared" si="212"/>
        <v/>
      </c>
      <c r="BM129" s="184" t="str">
        <f t="shared" si="213"/>
        <v/>
      </c>
      <c r="BN129" s="184" t="str">
        <f t="shared" si="214"/>
        <v/>
      </c>
      <c r="BO129" s="184" t="str">
        <f t="shared" si="215"/>
        <v/>
      </c>
      <c r="BP129" s="184" t="str">
        <f t="shared" si="216"/>
        <v/>
      </c>
      <c r="BQ129" s="184" t="str">
        <f t="shared" si="217"/>
        <v/>
      </c>
      <c r="BR129" s="184" t="str">
        <f t="shared" si="218"/>
        <v/>
      </c>
      <c r="BS129" s="184" t="str">
        <f t="shared" si="218"/>
        <v/>
      </c>
      <c r="BT129" s="184" t="str">
        <f t="shared" si="218"/>
        <v/>
      </c>
      <c r="BU129" s="184" t="str">
        <f t="shared" si="219"/>
        <v/>
      </c>
      <c r="BV129" s="184" t="str">
        <f t="shared" si="220"/>
        <v/>
      </c>
      <c r="BW129" s="184" t="str">
        <f t="shared" si="221"/>
        <v/>
      </c>
      <c r="BX129" s="184" t="str">
        <f t="shared" si="222"/>
        <v/>
      </c>
      <c r="BY129" s="184" t="str">
        <f t="shared" si="223"/>
        <v/>
      </c>
      <c r="BZ129" s="184" t="str">
        <f t="shared" si="224"/>
        <v/>
      </c>
      <c r="CA129" s="184" t="str">
        <f t="shared" si="225"/>
        <v/>
      </c>
      <c r="CB129" s="184" t="str">
        <f t="shared" si="226"/>
        <v/>
      </c>
      <c r="CC129" s="184" t="str">
        <f t="shared" si="227"/>
        <v/>
      </c>
      <c r="CD129" s="184" t="str">
        <f t="shared" si="228"/>
        <v/>
      </c>
      <c r="CE129" s="184" t="str">
        <f t="shared" si="229"/>
        <v/>
      </c>
      <c r="CF129" s="184" t="str">
        <f t="shared" si="230"/>
        <v/>
      </c>
      <c r="CG129" s="184" t="str">
        <f t="shared" si="231"/>
        <v/>
      </c>
      <c r="CH129" s="184" t="str">
        <f t="shared" si="232"/>
        <v/>
      </c>
      <c r="CI129" s="184" t="str">
        <f t="shared" si="233"/>
        <v/>
      </c>
      <c r="CJ129" s="184" t="str">
        <f t="shared" si="234"/>
        <v/>
      </c>
      <c r="CK129" s="184"/>
      <c r="CM129" s="184"/>
      <c r="CN129"/>
      <c r="CP129"/>
      <c r="CR129"/>
      <c r="CT129"/>
      <c r="CV129"/>
      <c r="CX129"/>
      <c r="CZ129"/>
      <c r="DB129"/>
      <c r="DD129"/>
      <c r="DF129"/>
      <c r="ED129" s="184"/>
      <c r="EF129" s="184"/>
      <c r="EH129" s="184"/>
      <c r="EJ129" s="184"/>
      <c r="EL129" s="184"/>
      <c r="EN129" s="184"/>
      <c r="EP129" s="184"/>
      <c r="ER129" s="184"/>
      <c r="ET129" s="184"/>
      <c r="EV129" s="184"/>
      <c r="EX129" s="184"/>
      <c r="EZ129" s="184"/>
      <c r="FB129" s="184"/>
    </row>
    <row r="130" spans="1:158">
      <c r="A130" s="184">
        <f t="shared" si="193"/>
        <v>-5</v>
      </c>
      <c r="B130" s="18">
        <f t="shared" si="235"/>
        <v>2899.9999999999941</v>
      </c>
      <c r="C130" s="18">
        <f t="shared" si="236"/>
        <v>3000</v>
      </c>
      <c r="D130" s="18">
        <f t="shared" si="237"/>
        <v>3899.9999999999995</v>
      </c>
      <c r="E130" s="18">
        <f t="shared" si="238"/>
        <v>5900</v>
      </c>
      <c r="F130" s="18">
        <f t="shared" si="239"/>
        <v>3400.0000000000045</v>
      </c>
      <c r="G130" s="18">
        <f t="shared" si="240"/>
        <v>3700.0000000000018</v>
      </c>
      <c r="H130" s="18">
        <f t="shared" si="241"/>
        <v>3800.0000000000009</v>
      </c>
      <c r="I130" s="18">
        <f t="shared" si="242"/>
        <v>3000</v>
      </c>
      <c r="J130" s="18">
        <f t="shared" si="243"/>
        <v>3799.9999999999986</v>
      </c>
      <c r="K130" s="18">
        <f t="shared" si="244"/>
        <v>4500</v>
      </c>
      <c r="L130" s="18">
        <f t="shared" si="245"/>
        <v>4800.0000000000146</v>
      </c>
      <c r="M130" s="18">
        <f t="shared" si="246"/>
        <v>8200</v>
      </c>
      <c r="N130" s="18">
        <f t="shared" si="247"/>
        <v>5787.0000000000009</v>
      </c>
      <c r="O130" s="18">
        <f t="shared" si="248"/>
        <v>7699.2000000000016</v>
      </c>
      <c r="P130" s="18">
        <f t="shared" si="249"/>
        <v>10888</v>
      </c>
      <c r="Q130" s="18">
        <f t="shared" si="250"/>
        <v>9844</v>
      </c>
      <c r="R130" s="18">
        <f t="shared" si="251"/>
        <v>14928.000000000002</v>
      </c>
      <c r="S130" s="18"/>
      <c r="T130" s="18"/>
      <c r="U130" s="18"/>
      <c r="V130" s="18"/>
      <c r="W130" s="18"/>
      <c r="X130" s="18">
        <f t="shared" si="170"/>
        <v>25627.500000000004</v>
      </c>
      <c r="Y130" s="18">
        <f t="shared" si="252"/>
        <v>21839.999999999927</v>
      </c>
      <c r="Z130" s="18">
        <f t="shared" si="171"/>
        <v>21000</v>
      </c>
      <c r="AA130" s="18">
        <f t="shared" si="172"/>
        <v>27000</v>
      </c>
      <c r="AB130" s="18">
        <f t="shared" si="173"/>
        <v>31900</v>
      </c>
      <c r="AC130" s="18">
        <f t="shared" si="183"/>
        <v>7520.6666666666661</v>
      </c>
      <c r="AD130" s="18">
        <f t="shared" si="184"/>
        <v>9238.6666666666679</v>
      </c>
      <c r="AE130" s="18">
        <f t="shared" si="185"/>
        <v>11560.666666666668</v>
      </c>
      <c r="AF130" s="18">
        <f t="shared" si="186"/>
        <v>16064.666666666668</v>
      </c>
      <c r="AG130" s="18">
        <f t="shared" si="187"/>
        <v>17119.666666666664</v>
      </c>
      <c r="AH130" s="18">
        <f t="shared" si="188"/>
        <v>8994.6666666666679</v>
      </c>
      <c r="AI130" s="18">
        <f t="shared" si="189"/>
        <v>10654.666666666668</v>
      </c>
      <c r="AJ130" s="18">
        <f t="shared" si="190"/>
        <v>15704.666666666668</v>
      </c>
      <c r="AK130" s="18">
        <f t="shared" si="191"/>
        <v>18344.666666666664</v>
      </c>
      <c r="AL130" s="18">
        <f t="shared" si="175"/>
        <v>17600</v>
      </c>
      <c r="AM130" s="18">
        <f t="shared" si="176"/>
        <v>20000</v>
      </c>
      <c r="AN130" s="18">
        <f t="shared" si="177"/>
        <v>22880</v>
      </c>
      <c r="AO130" s="18">
        <f t="shared" si="178"/>
        <v>36000</v>
      </c>
      <c r="AP130" s="18">
        <f t="shared" si="179"/>
        <v>38400</v>
      </c>
      <c r="AQ130" s="18">
        <f t="shared" si="180"/>
        <v>43200</v>
      </c>
      <c r="AR130" s="18">
        <f t="shared" si="181"/>
        <v>117760</v>
      </c>
      <c r="AS130" s="18">
        <f t="shared" si="192"/>
        <v>45000</v>
      </c>
      <c r="AT130" s="184" t="str">
        <f t="shared" si="194"/>
        <v/>
      </c>
      <c r="AU130" s="184" t="str">
        <f t="shared" si="195"/>
        <v/>
      </c>
      <c r="AV130" s="184" t="str">
        <f t="shared" si="196"/>
        <v/>
      </c>
      <c r="AW130" s="184" t="str">
        <f t="shared" si="197"/>
        <v/>
      </c>
      <c r="AX130" s="184" t="str">
        <f t="shared" si="198"/>
        <v/>
      </c>
      <c r="AY130" s="184" t="str">
        <f t="shared" si="199"/>
        <v/>
      </c>
      <c r="AZ130" s="184" t="str">
        <f t="shared" si="200"/>
        <v/>
      </c>
      <c r="BA130" s="184" t="str">
        <f t="shared" si="201"/>
        <v/>
      </c>
      <c r="BB130" s="184" t="str">
        <f t="shared" si="202"/>
        <v/>
      </c>
      <c r="BC130" s="184" t="str">
        <f t="shared" si="203"/>
        <v/>
      </c>
      <c r="BD130" s="184" t="str">
        <f t="shared" si="204"/>
        <v/>
      </c>
      <c r="BE130" s="184" t="str">
        <f t="shared" si="205"/>
        <v/>
      </c>
      <c r="BF130" s="184" t="str">
        <f t="shared" si="206"/>
        <v/>
      </c>
      <c r="BG130" s="184" t="str">
        <f t="shared" si="207"/>
        <v/>
      </c>
      <c r="BH130" s="184" t="str">
        <f t="shared" si="208"/>
        <v/>
      </c>
      <c r="BI130" s="184" t="str">
        <f t="shared" si="209"/>
        <v/>
      </c>
      <c r="BJ130" s="184" t="str">
        <f t="shared" si="210"/>
        <v/>
      </c>
      <c r="BK130" s="184" t="str">
        <f t="shared" si="211"/>
        <v/>
      </c>
      <c r="BL130" s="184" t="str">
        <f t="shared" si="212"/>
        <v/>
      </c>
      <c r="BM130" s="184" t="str">
        <f t="shared" si="213"/>
        <v/>
      </c>
      <c r="BN130" s="184" t="str">
        <f t="shared" si="214"/>
        <v/>
      </c>
      <c r="BO130" s="184" t="str">
        <f t="shared" si="215"/>
        <v/>
      </c>
      <c r="BP130" s="184" t="str">
        <f t="shared" si="216"/>
        <v/>
      </c>
      <c r="BQ130" s="184" t="str">
        <f t="shared" si="217"/>
        <v/>
      </c>
      <c r="BR130" s="184" t="str">
        <f t="shared" si="218"/>
        <v/>
      </c>
      <c r="BS130" s="184" t="str">
        <f t="shared" si="218"/>
        <v/>
      </c>
      <c r="BT130" s="184" t="str">
        <f t="shared" si="218"/>
        <v/>
      </c>
      <c r="BU130" s="184" t="str">
        <f t="shared" si="219"/>
        <v/>
      </c>
      <c r="BV130" s="184" t="str">
        <f t="shared" si="220"/>
        <v/>
      </c>
      <c r="BW130" s="184" t="str">
        <f t="shared" si="221"/>
        <v/>
      </c>
      <c r="BX130" s="184" t="str">
        <f t="shared" si="222"/>
        <v/>
      </c>
      <c r="BY130" s="184" t="str">
        <f t="shared" si="223"/>
        <v/>
      </c>
      <c r="BZ130" s="184" t="str">
        <f t="shared" si="224"/>
        <v/>
      </c>
      <c r="CA130" s="184" t="str">
        <f t="shared" si="225"/>
        <v/>
      </c>
      <c r="CB130" s="184" t="str">
        <f t="shared" si="226"/>
        <v/>
      </c>
      <c r="CC130" s="184" t="str">
        <f t="shared" si="227"/>
        <v/>
      </c>
      <c r="CD130" s="184" t="str">
        <f t="shared" si="228"/>
        <v/>
      </c>
      <c r="CE130" s="184" t="str">
        <f t="shared" si="229"/>
        <v/>
      </c>
      <c r="CF130" s="184" t="str">
        <f t="shared" si="230"/>
        <v/>
      </c>
      <c r="CG130" s="184" t="str">
        <f t="shared" si="231"/>
        <v/>
      </c>
      <c r="CH130" s="184" t="str">
        <f t="shared" si="232"/>
        <v/>
      </c>
      <c r="CI130" s="184" t="str">
        <f t="shared" si="233"/>
        <v/>
      </c>
      <c r="CJ130" s="184" t="str">
        <f t="shared" si="234"/>
        <v/>
      </c>
      <c r="CK130" s="184"/>
      <c r="CM130" s="184"/>
      <c r="CN130"/>
      <c r="CP130"/>
      <c r="CR130"/>
      <c r="CT130"/>
      <c r="CV130"/>
      <c r="CX130"/>
      <c r="CZ130"/>
      <c r="DB130"/>
      <c r="DD130"/>
      <c r="DF130"/>
      <c r="ED130" s="184"/>
      <c r="EF130" s="184"/>
      <c r="EH130" s="184"/>
      <c r="EJ130" s="184"/>
      <c r="EL130" s="184"/>
      <c r="EN130" s="184"/>
      <c r="EP130" s="184"/>
      <c r="ER130" s="184"/>
      <c r="ET130" s="184"/>
      <c r="EV130" s="184"/>
      <c r="EX130" s="184"/>
      <c r="EZ130" s="184"/>
      <c r="FB130" s="184"/>
    </row>
    <row r="131" spans="1:158">
      <c r="A131" s="184">
        <f t="shared" si="193"/>
        <v>-4.5</v>
      </c>
      <c r="B131" s="18">
        <f t="shared" si="235"/>
        <v>2994.9999999999945</v>
      </c>
      <c r="C131" s="18">
        <f t="shared" si="236"/>
        <v>3150</v>
      </c>
      <c r="D131" s="18">
        <f t="shared" si="237"/>
        <v>4100</v>
      </c>
      <c r="E131" s="18">
        <f t="shared" si="238"/>
        <v>6080</v>
      </c>
      <c r="F131" s="18">
        <f t="shared" si="239"/>
        <v>3470.0000000000041</v>
      </c>
      <c r="G131" s="18">
        <f t="shared" si="240"/>
        <v>3815.0000000000014</v>
      </c>
      <c r="H131" s="18">
        <f t="shared" si="241"/>
        <v>4005.0000000000005</v>
      </c>
      <c r="I131" s="18">
        <f t="shared" si="242"/>
        <v>3090</v>
      </c>
      <c r="J131" s="18">
        <f t="shared" si="243"/>
        <v>3924.9999999999991</v>
      </c>
      <c r="K131" s="18">
        <f t="shared" si="244"/>
        <v>4670</v>
      </c>
      <c r="L131" s="18">
        <f t="shared" si="245"/>
        <v>5015.0000000000136</v>
      </c>
      <c r="M131" s="18">
        <f t="shared" si="246"/>
        <v>8395</v>
      </c>
      <c r="N131" s="18">
        <f>N132-(N$151-N$150)*1.2</f>
        <v>5945.5000000000009</v>
      </c>
      <c r="O131" s="18">
        <f t="shared" si="248"/>
        <v>7809.6000000000013</v>
      </c>
      <c r="P131" s="18">
        <f t="shared" si="249"/>
        <v>11024</v>
      </c>
      <c r="Q131" s="18">
        <f t="shared" si="250"/>
        <v>10106</v>
      </c>
      <c r="R131" s="18">
        <f t="shared" si="251"/>
        <v>15192.000000000002</v>
      </c>
      <c r="S131" s="18"/>
      <c r="T131" s="18"/>
      <c r="U131" s="18"/>
      <c r="V131" s="18"/>
      <c r="W131" s="18"/>
      <c r="X131" s="18">
        <f t="shared" si="170"/>
        <v>25858.125000000004</v>
      </c>
      <c r="Y131" s="18">
        <f t="shared" si="252"/>
        <v>22368.999999999931</v>
      </c>
      <c r="Z131" s="18">
        <f t="shared" si="171"/>
        <v>21210</v>
      </c>
      <c r="AA131" s="18">
        <f t="shared" si="172"/>
        <v>27270</v>
      </c>
      <c r="AB131" s="18">
        <f t="shared" si="173"/>
        <v>32285</v>
      </c>
      <c r="AC131" s="18">
        <f>AC132-($AC$132-$AC$114)/18</f>
        <v>7588.333333333333</v>
      </c>
      <c r="AD131" s="18">
        <f t="shared" si="184"/>
        <v>9306.3333333333339</v>
      </c>
      <c r="AE131" s="18">
        <f t="shared" si="185"/>
        <v>11628.333333333334</v>
      </c>
      <c r="AF131" s="18">
        <f t="shared" si="186"/>
        <v>16132.333333333334</v>
      </c>
      <c r="AG131" s="18">
        <f t="shared" si="187"/>
        <v>17187.333333333332</v>
      </c>
      <c r="AH131" s="18">
        <f t="shared" si="188"/>
        <v>9062.3333333333339</v>
      </c>
      <c r="AI131" s="18">
        <f t="shared" si="189"/>
        <v>10722.333333333334</v>
      </c>
      <c r="AJ131" s="18">
        <f t="shared" si="190"/>
        <v>15772.333333333334</v>
      </c>
      <c r="AK131" s="18">
        <f t="shared" si="191"/>
        <v>18412.333333333332</v>
      </c>
      <c r="AL131" s="18">
        <f t="shared" si="175"/>
        <v>17820</v>
      </c>
      <c r="AM131" s="18">
        <f t="shared" si="176"/>
        <v>20250</v>
      </c>
      <c r="AN131" s="18">
        <f t="shared" si="177"/>
        <v>23166</v>
      </c>
      <c r="AO131" s="18">
        <f t="shared" si="178"/>
        <v>36450</v>
      </c>
      <c r="AP131" s="18">
        <f t="shared" si="179"/>
        <v>38880</v>
      </c>
      <c r="AQ131" s="18">
        <f t="shared" si="180"/>
        <v>43740</v>
      </c>
      <c r="AR131" s="18">
        <f t="shared" si="181"/>
        <v>119232</v>
      </c>
      <c r="AS131" s="18">
        <f t="shared" si="192"/>
        <v>45000</v>
      </c>
      <c r="AT131" s="184" t="str">
        <f t="shared" si="194"/>
        <v/>
      </c>
      <c r="AU131" s="184" t="str">
        <f t="shared" si="195"/>
        <v/>
      </c>
      <c r="AV131" s="184" t="str">
        <f t="shared" si="196"/>
        <v/>
      </c>
      <c r="AW131" s="184" t="str">
        <f t="shared" si="197"/>
        <v/>
      </c>
      <c r="AX131" s="184" t="str">
        <f t="shared" si="198"/>
        <v/>
      </c>
      <c r="AY131" s="184" t="str">
        <f t="shared" si="199"/>
        <v/>
      </c>
      <c r="AZ131" s="184" t="str">
        <f t="shared" si="200"/>
        <v/>
      </c>
      <c r="BA131" s="184" t="str">
        <f t="shared" si="201"/>
        <v/>
      </c>
      <c r="BB131" s="184" t="str">
        <f t="shared" si="202"/>
        <v/>
      </c>
      <c r="BC131" s="184" t="str">
        <f t="shared" si="203"/>
        <v/>
      </c>
      <c r="BD131" s="184" t="str">
        <f t="shared" si="204"/>
        <v/>
      </c>
      <c r="BE131" s="184" t="str">
        <f t="shared" si="205"/>
        <v/>
      </c>
      <c r="BF131" s="184" t="str">
        <f t="shared" si="206"/>
        <v/>
      </c>
      <c r="BG131" s="184" t="str">
        <f t="shared" si="207"/>
        <v/>
      </c>
      <c r="BH131" s="184" t="str">
        <f t="shared" si="208"/>
        <v/>
      </c>
      <c r="BI131" s="184" t="str">
        <f t="shared" si="209"/>
        <v/>
      </c>
      <c r="BJ131" s="184" t="str">
        <f t="shared" si="210"/>
        <v/>
      </c>
      <c r="BK131" s="184" t="str">
        <f t="shared" si="211"/>
        <v/>
      </c>
      <c r="BL131" s="184" t="str">
        <f t="shared" si="212"/>
        <v/>
      </c>
      <c r="BM131" s="184" t="str">
        <f t="shared" si="213"/>
        <v/>
      </c>
      <c r="BN131" s="184" t="str">
        <f t="shared" si="214"/>
        <v/>
      </c>
      <c r="BO131" s="184" t="str">
        <f t="shared" si="215"/>
        <v/>
      </c>
      <c r="BP131" s="184" t="str">
        <f t="shared" si="216"/>
        <v/>
      </c>
      <c r="BQ131" s="184" t="str">
        <f t="shared" si="217"/>
        <v/>
      </c>
      <c r="BR131" s="184" t="str">
        <f t="shared" si="218"/>
        <v/>
      </c>
      <c r="BS131" s="184" t="str">
        <f t="shared" si="218"/>
        <v/>
      </c>
      <c r="BT131" s="184" t="str">
        <f t="shared" si="218"/>
        <v/>
      </c>
      <c r="BU131" s="184" t="str">
        <f t="shared" si="219"/>
        <v/>
      </c>
      <c r="BV131" s="184" t="str">
        <f t="shared" si="220"/>
        <v/>
      </c>
      <c r="BW131" s="184" t="str">
        <f t="shared" si="221"/>
        <v/>
      </c>
      <c r="BX131" s="184" t="str">
        <f t="shared" si="222"/>
        <v/>
      </c>
      <c r="BY131" s="184" t="str">
        <f t="shared" si="223"/>
        <v/>
      </c>
      <c r="BZ131" s="184" t="str">
        <f t="shared" si="224"/>
        <v/>
      </c>
      <c r="CA131" s="184" t="str">
        <f t="shared" si="225"/>
        <v/>
      </c>
      <c r="CB131" s="184" t="str">
        <f t="shared" si="226"/>
        <v/>
      </c>
      <c r="CC131" s="184" t="str">
        <f t="shared" si="227"/>
        <v/>
      </c>
      <c r="CD131" s="184" t="str">
        <f t="shared" si="228"/>
        <v/>
      </c>
      <c r="CE131" s="184" t="str">
        <f t="shared" si="229"/>
        <v/>
      </c>
      <c r="CF131" s="184" t="str">
        <f t="shared" si="230"/>
        <v/>
      </c>
      <c r="CG131" s="184" t="str">
        <f t="shared" si="231"/>
        <v/>
      </c>
      <c r="CH131" s="184" t="str">
        <f t="shared" si="232"/>
        <v/>
      </c>
      <c r="CI131" s="184" t="str">
        <f t="shared" si="233"/>
        <v/>
      </c>
      <c r="CJ131" s="184" t="str">
        <f t="shared" si="234"/>
        <v/>
      </c>
      <c r="CK131" s="184"/>
      <c r="CM131" s="184"/>
      <c r="CN131"/>
      <c r="CP131"/>
      <c r="CR131"/>
      <c r="CT131"/>
      <c r="CV131"/>
      <c r="CX131"/>
      <c r="CZ131"/>
      <c r="DB131"/>
      <c r="DD131"/>
      <c r="DF131"/>
      <c r="ED131" s="184"/>
      <c r="EF131" s="184"/>
      <c r="EH131" s="184"/>
      <c r="EJ131" s="184"/>
      <c r="EL131" s="184"/>
      <c r="EN131" s="184"/>
      <c r="EP131" s="184"/>
      <c r="ER131" s="184"/>
      <c r="ET131" s="184"/>
      <c r="EV131" s="184"/>
      <c r="EX131" s="184"/>
      <c r="EZ131" s="184"/>
      <c r="FB131" s="184"/>
    </row>
    <row r="132" spans="1:158">
      <c r="A132" s="184">
        <f t="shared" si="193"/>
        <v>-4</v>
      </c>
      <c r="B132" s="18">
        <f t="shared" si="235"/>
        <v>3089.999999999995</v>
      </c>
      <c r="C132" s="18">
        <f t="shared" si="236"/>
        <v>3300</v>
      </c>
      <c r="D132" s="18">
        <f t="shared" si="237"/>
        <v>4300</v>
      </c>
      <c r="E132" s="18">
        <f t="shared" si="238"/>
        <v>6260</v>
      </c>
      <c r="F132" s="18">
        <f t="shared" si="239"/>
        <v>3540.0000000000036</v>
      </c>
      <c r="G132" s="18">
        <f t="shared" si="240"/>
        <v>3930.0000000000009</v>
      </c>
      <c r="H132" s="18">
        <f t="shared" si="241"/>
        <v>4210</v>
      </c>
      <c r="I132" s="18">
        <f t="shared" si="242"/>
        <v>3180</v>
      </c>
      <c r="J132" s="18">
        <f t="shared" si="243"/>
        <v>4049.9999999999995</v>
      </c>
      <c r="K132" s="18">
        <f t="shared" si="244"/>
        <v>4840</v>
      </c>
      <c r="L132" s="18">
        <f t="shared" si="245"/>
        <v>5230.0000000000127</v>
      </c>
      <c r="M132" s="18">
        <f t="shared" si="246"/>
        <v>8590</v>
      </c>
      <c r="N132" s="18">
        <f>VLOOKUP(N84,non_table,6,FALSE)</f>
        <v>6104.0000000000009</v>
      </c>
      <c r="O132" s="18">
        <f>VLOOKUP(O84,non_table,6,FALSE)</f>
        <v>7920.0000000000009</v>
      </c>
      <c r="P132" s="18">
        <f>VLOOKUP(P84,non_table,6,FALSE)</f>
        <v>11160</v>
      </c>
      <c r="Q132" s="18">
        <f>VLOOKUP(Q84,non_table,6,FALSE)</f>
        <v>10368</v>
      </c>
      <c r="R132" s="18">
        <f>VLOOKUP(R84,non_table,6,FALSE)</f>
        <v>15456.000000000002</v>
      </c>
      <c r="S132" s="18"/>
      <c r="T132" s="18"/>
      <c r="U132" s="18"/>
      <c r="V132" s="18"/>
      <c r="W132" s="18"/>
      <c r="X132" s="18">
        <f t="shared" si="170"/>
        <v>26088.750000000004</v>
      </c>
      <c r="Y132" s="18">
        <f t="shared" si="252"/>
        <v>22897.999999999935</v>
      </c>
      <c r="Z132" s="18">
        <f t="shared" si="171"/>
        <v>21420</v>
      </c>
      <c r="AA132" s="18">
        <f t="shared" si="172"/>
        <v>27540</v>
      </c>
      <c r="AB132" s="18">
        <f t="shared" si="173"/>
        <v>32670</v>
      </c>
      <c r="AC132" s="18">
        <f t="shared" ref="AC132:AK132" si="253">VLOOKUP(AC84,non_table,6,FALSE)</f>
        <v>7656</v>
      </c>
      <c r="AD132" s="18">
        <f t="shared" si="253"/>
        <v>9374</v>
      </c>
      <c r="AE132" s="18">
        <f t="shared" si="253"/>
        <v>11696</v>
      </c>
      <c r="AF132" s="18">
        <f t="shared" si="253"/>
        <v>16200</v>
      </c>
      <c r="AG132" s="18">
        <f t="shared" si="253"/>
        <v>17255</v>
      </c>
      <c r="AH132" s="18">
        <f t="shared" si="253"/>
        <v>9130</v>
      </c>
      <c r="AI132" s="18">
        <f t="shared" si="253"/>
        <v>10790</v>
      </c>
      <c r="AJ132" s="18">
        <f t="shared" si="253"/>
        <v>15840</v>
      </c>
      <c r="AK132" s="18">
        <f t="shared" si="253"/>
        <v>18480</v>
      </c>
      <c r="AL132" s="18">
        <f t="shared" si="175"/>
        <v>18040</v>
      </c>
      <c r="AM132" s="18">
        <f t="shared" si="176"/>
        <v>20500</v>
      </c>
      <c r="AN132" s="18">
        <f t="shared" si="177"/>
        <v>23452</v>
      </c>
      <c r="AO132" s="18">
        <f t="shared" si="178"/>
        <v>36900</v>
      </c>
      <c r="AP132" s="18">
        <f t="shared" si="179"/>
        <v>39360</v>
      </c>
      <c r="AQ132" s="18">
        <f t="shared" si="180"/>
        <v>44280</v>
      </c>
      <c r="AR132" s="18">
        <f t="shared" si="181"/>
        <v>120704</v>
      </c>
      <c r="AS132" s="18">
        <f t="shared" si="192"/>
        <v>45000</v>
      </c>
      <c r="AT132" s="184" t="str">
        <f t="shared" si="194"/>
        <v/>
      </c>
      <c r="AU132" s="184" t="str">
        <f t="shared" si="195"/>
        <v/>
      </c>
      <c r="AV132" s="184" t="str">
        <f t="shared" si="196"/>
        <v/>
      </c>
      <c r="AW132" s="184" t="str">
        <f t="shared" si="197"/>
        <v/>
      </c>
      <c r="AX132" s="184" t="str">
        <f t="shared" si="198"/>
        <v/>
      </c>
      <c r="AY132" s="184" t="str">
        <f t="shared" si="199"/>
        <v/>
      </c>
      <c r="AZ132" s="184" t="str">
        <f t="shared" si="200"/>
        <v/>
      </c>
      <c r="BA132" s="184" t="str">
        <f t="shared" si="201"/>
        <v/>
      </c>
      <c r="BB132" s="184" t="str">
        <f t="shared" si="202"/>
        <v/>
      </c>
      <c r="BC132" s="184" t="str">
        <f t="shared" si="203"/>
        <v/>
      </c>
      <c r="BD132" s="184" t="str">
        <f t="shared" si="204"/>
        <v/>
      </c>
      <c r="BE132" s="184" t="str">
        <f t="shared" si="205"/>
        <v/>
      </c>
      <c r="BF132" s="184" t="str">
        <f t="shared" si="206"/>
        <v/>
      </c>
      <c r="BG132" s="184" t="str">
        <f t="shared" si="207"/>
        <v/>
      </c>
      <c r="BH132" s="184" t="str">
        <f t="shared" si="208"/>
        <v/>
      </c>
      <c r="BI132" s="184" t="str">
        <f t="shared" si="209"/>
        <v/>
      </c>
      <c r="BJ132" s="184" t="str">
        <f t="shared" si="210"/>
        <v/>
      </c>
      <c r="BK132" s="184" t="str">
        <f t="shared" si="211"/>
        <v/>
      </c>
      <c r="BL132" s="184" t="str">
        <f t="shared" si="212"/>
        <v/>
      </c>
      <c r="BM132" s="184" t="str">
        <f t="shared" si="213"/>
        <v/>
      </c>
      <c r="BN132" s="184" t="str">
        <f t="shared" si="214"/>
        <v/>
      </c>
      <c r="BO132" s="184" t="str">
        <f t="shared" si="215"/>
        <v/>
      </c>
      <c r="BP132" s="184" t="str">
        <f t="shared" si="216"/>
        <v/>
      </c>
      <c r="BQ132" s="184" t="str">
        <f t="shared" si="217"/>
        <v/>
      </c>
      <c r="BR132" s="184" t="str">
        <f t="shared" si="218"/>
        <v/>
      </c>
      <c r="BS132" s="184" t="str">
        <f t="shared" si="218"/>
        <v/>
      </c>
      <c r="BT132" s="184" t="str">
        <f t="shared" si="218"/>
        <v/>
      </c>
      <c r="BU132" s="184" t="str">
        <f t="shared" si="219"/>
        <v/>
      </c>
      <c r="BV132" s="184" t="str">
        <f t="shared" si="220"/>
        <v/>
      </c>
      <c r="BW132" s="184" t="str">
        <f t="shared" si="221"/>
        <v/>
      </c>
      <c r="BX132" s="184" t="str">
        <f t="shared" si="222"/>
        <v/>
      </c>
      <c r="BY132" s="184" t="str">
        <f t="shared" si="223"/>
        <v/>
      </c>
      <c r="BZ132" s="184" t="str">
        <f t="shared" si="224"/>
        <v/>
      </c>
      <c r="CA132" s="184" t="str">
        <f t="shared" si="225"/>
        <v/>
      </c>
      <c r="CB132" s="184" t="str">
        <f t="shared" si="226"/>
        <v/>
      </c>
      <c r="CC132" s="184" t="str">
        <f t="shared" si="227"/>
        <v/>
      </c>
      <c r="CD132" s="184" t="str">
        <f t="shared" si="228"/>
        <v/>
      </c>
      <c r="CE132" s="184" t="str">
        <f t="shared" si="229"/>
        <v/>
      </c>
      <c r="CF132" s="184" t="str">
        <f t="shared" si="230"/>
        <v/>
      </c>
      <c r="CG132" s="184" t="str">
        <f t="shared" si="231"/>
        <v/>
      </c>
      <c r="CH132" s="184" t="str">
        <f t="shared" si="232"/>
        <v/>
      </c>
      <c r="CI132" s="184" t="str">
        <f t="shared" si="233"/>
        <v/>
      </c>
      <c r="CJ132" s="184" t="str">
        <f t="shared" si="234"/>
        <v/>
      </c>
      <c r="CK132" s="184"/>
      <c r="CM132" s="184"/>
      <c r="CN132"/>
      <c r="CP132"/>
      <c r="CR132"/>
      <c r="CT132"/>
      <c r="CV132"/>
      <c r="CX132"/>
      <c r="CZ132"/>
      <c r="DB132"/>
      <c r="DD132"/>
      <c r="DF132"/>
      <c r="ED132" s="184"/>
      <c r="EF132" s="184"/>
      <c r="EH132" s="184"/>
      <c r="EJ132" s="184"/>
      <c r="EL132" s="184"/>
      <c r="EN132" s="184"/>
      <c r="EP132" s="184"/>
      <c r="ER132" s="184"/>
      <c r="ET132" s="184"/>
      <c r="EV132" s="184"/>
      <c r="EX132" s="184"/>
      <c r="EZ132" s="184"/>
      <c r="FB132" s="184"/>
    </row>
    <row r="133" spans="1:158">
      <c r="A133" s="184">
        <f t="shared" si="193"/>
        <v>-3.5</v>
      </c>
      <c r="B133" s="18">
        <f t="shared" si="235"/>
        <v>3184.9999999999955</v>
      </c>
      <c r="C133" s="18">
        <f t="shared" si="236"/>
        <v>3450</v>
      </c>
      <c r="D133" s="18">
        <f t="shared" si="237"/>
        <v>4500</v>
      </c>
      <c r="E133" s="18">
        <f t="shared" si="238"/>
        <v>6440</v>
      </c>
      <c r="F133" s="18">
        <f t="shared" si="239"/>
        <v>3610.0000000000032</v>
      </c>
      <c r="G133" s="18">
        <f t="shared" si="240"/>
        <v>4045.0000000000005</v>
      </c>
      <c r="H133" s="18">
        <f t="shared" si="241"/>
        <v>4415</v>
      </c>
      <c r="I133" s="18">
        <f t="shared" si="242"/>
        <v>3270</v>
      </c>
      <c r="J133" s="18">
        <f t="shared" si="243"/>
        <v>4175</v>
      </c>
      <c r="K133" s="18">
        <f t="shared" si="244"/>
        <v>5010</v>
      </c>
      <c r="L133" s="18">
        <f t="shared" si="245"/>
        <v>5445.0000000000118</v>
      </c>
      <c r="M133" s="18">
        <f t="shared" si="246"/>
        <v>8785</v>
      </c>
      <c r="N133" s="18">
        <f t="shared" ref="N133:N148" si="254">N134-($N$150-$N$132)/18</f>
        <v>6188.7777777777837</v>
      </c>
      <c r="O133" s="18">
        <f t="shared" ref="O133:O149" si="255">O134-($N$150-$N$132)/18</f>
        <v>8350.7777777777846</v>
      </c>
      <c r="P133" s="18">
        <f t="shared" ref="P133:P149" si="256">P134-($N$150-$N$132)/18</f>
        <v>12238.777777777785</v>
      </c>
      <c r="Q133" s="18">
        <f t="shared" ref="Q133:Q149" si="257">Q134-($N$150-$N$132)/18</f>
        <v>11518.777777777785</v>
      </c>
      <c r="R133" s="18">
        <f t="shared" ref="R133:R149" si="258">R134-($N$150-$N$132)/18</f>
        <v>17878.777777777785</v>
      </c>
      <c r="S133" s="18"/>
      <c r="T133" s="18"/>
      <c r="U133" s="18"/>
      <c r="V133" s="18"/>
      <c r="W133" s="18"/>
      <c r="X133" s="18">
        <f t="shared" si="170"/>
        <v>26319.375000000004</v>
      </c>
      <c r="Y133" s="18">
        <f t="shared" si="252"/>
        <v>23426.999999999938</v>
      </c>
      <c r="Z133" s="18">
        <f t="shared" si="171"/>
        <v>21630</v>
      </c>
      <c r="AA133" s="18">
        <f t="shared" si="172"/>
        <v>27810</v>
      </c>
      <c r="AB133" s="18">
        <f t="shared" si="173"/>
        <v>33055</v>
      </c>
      <c r="AC133" s="18">
        <f t="shared" ref="AC133:AC148" si="259">AC134-($N$150-$N$132)/18</f>
        <v>7258.7777777777846</v>
      </c>
      <c r="AD133" s="18">
        <f t="shared" ref="AD133:AD149" si="260">AD134-($N$150-$N$132)/18</f>
        <v>9458.7777777777846</v>
      </c>
      <c r="AE133" s="18">
        <f t="shared" ref="AE133:AE149" si="261">AE134-($N$150-$N$132)/18</f>
        <v>12158.777777777785</v>
      </c>
      <c r="AF133" s="18">
        <f t="shared" ref="AF133:AF149" si="262">AF134-($N$150-$N$132)/18</f>
        <v>16558.777777777785</v>
      </c>
      <c r="AG133" s="18">
        <f t="shared" ref="AG133:AG149" si="263">AG134-($N$150-$N$132)/18</f>
        <v>18858.777777777785</v>
      </c>
      <c r="AH133" s="18">
        <f t="shared" ref="AH133:AH149" si="264">AH134-($N$150-$N$132)/18</f>
        <v>9558.7777777777846</v>
      </c>
      <c r="AI133" s="18">
        <f t="shared" ref="AI133:AI149" si="265">AI134-($N$150-$N$132)/18</f>
        <v>11558.777777777785</v>
      </c>
      <c r="AJ133" s="18">
        <f t="shared" ref="AJ133:AJ149" si="266">AJ134-($N$150-$N$132)/18</f>
        <v>16558.777777777785</v>
      </c>
      <c r="AK133" s="18">
        <f t="shared" ref="AK133:AK149" si="267">AK134-($N$150-$N$132)/18</f>
        <v>19558.777777777785</v>
      </c>
      <c r="AL133" s="18">
        <f t="shared" si="175"/>
        <v>18260</v>
      </c>
      <c r="AM133" s="18">
        <f t="shared" si="176"/>
        <v>20750</v>
      </c>
      <c r="AN133" s="18">
        <f t="shared" si="177"/>
        <v>23738</v>
      </c>
      <c r="AO133" s="18">
        <f t="shared" si="178"/>
        <v>37350</v>
      </c>
      <c r="AP133" s="18">
        <f t="shared" si="179"/>
        <v>39840</v>
      </c>
      <c r="AQ133" s="18">
        <f t="shared" si="180"/>
        <v>44820</v>
      </c>
      <c r="AR133" s="18">
        <f t="shared" si="181"/>
        <v>122176</v>
      </c>
      <c r="AS133" s="18">
        <f t="shared" si="192"/>
        <v>45000</v>
      </c>
      <c r="AT133" s="184" t="str">
        <f t="shared" si="194"/>
        <v/>
      </c>
      <c r="AU133" s="184" t="str">
        <f t="shared" si="195"/>
        <v/>
      </c>
      <c r="AV133" s="184" t="str">
        <f t="shared" si="196"/>
        <v/>
      </c>
      <c r="AW133" s="184" t="str">
        <f t="shared" si="197"/>
        <v/>
      </c>
      <c r="AX133" s="184" t="str">
        <f t="shared" si="198"/>
        <v/>
      </c>
      <c r="AY133" s="184" t="str">
        <f t="shared" si="199"/>
        <v/>
      </c>
      <c r="AZ133" s="184" t="str">
        <f t="shared" si="200"/>
        <v/>
      </c>
      <c r="BA133" s="184" t="str">
        <f t="shared" si="201"/>
        <v/>
      </c>
      <c r="BB133" s="184" t="str">
        <f t="shared" si="202"/>
        <v/>
      </c>
      <c r="BC133" s="184" t="str">
        <f t="shared" si="203"/>
        <v/>
      </c>
      <c r="BD133" s="184" t="str">
        <f t="shared" si="204"/>
        <v/>
      </c>
      <c r="BE133" s="184" t="str">
        <f t="shared" si="205"/>
        <v/>
      </c>
      <c r="BF133" s="184" t="str">
        <f t="shared" si="206"/>
        <v/>
      </c>
      <c r="BG133" s="184" t="str">
        <f t="shared" si="207"/>
        <v/>
      </c>
      <c r="BH133" s="184" t="str">
        <f t="shared" si="208"/>
        <v/>
      </c>
      <c r="BI133" s="184" t="str">
        <f t="shared" si="209"/>
        <v/>
      </c>
      <c r="BJ133" s="184" t="str">
        <f t="shared" si="210"/>
        <v/>
      </c>
      <c r="BK133" s="184" t="str">
        <f t="shared" si="211"/>
        <v/>
      </c>
      <c r="BL133" s="184" t="str">
        <f t="shared" si="212"/>
        <v/>
      </c>
      <c r="BM133" s="184" t="str">
        <f t="shared" si="213"/>
        <v/>
      </c>
      <c r="BN133" s="184" t="str">
        <f t="shared" si="214"/>
        <v/>
      </c>
      <c r="BO133" s="184" t="str">
        <f t="shared" si="215"/>
        <v/>
      </c>
      <c r="BP133" s="184" t="str">
        <f t="shared" si="216"/>
        <v/>
      </c>
      <c r="BQ133" s="184" t="str">
        <f t="shared" si="217"/>
        <v/>
      </c>
      <c r="BR133" s="184" t="str">
        <f t="shared" si="218"/>
        <v/>
      </c>
      <c r="BS133" s="184" t="str">
        <f t="shared" si="218"/>
        <v/>
      </c>
      <c r="BT133" s="184" t="str">
        <f t="shared" si="218"/>
        <v/>
      </c>
      <c r="BU133" s="184" t="str">
        <f t="shared" si="219"/>
        <v/>
      </c>
      <c r="BV133" s="184" t="str">
        <f t="shared" si="220"/>
        <v/>
      </c>
      <c r="BW133" s="184" t="str">
        <f t="shared" si="221"/>
        <v/>
      </c>
      <c r="BX133" s="184" t="str">
        <f t="shared" si="222"/>
        <v/>
      </c>
      <c r="BY133" s="184" t="str">
        <f t="shared" si="223"/>
        <v/>
      </c>
      <c r="BZ133" s="184" t="str">
        <f t="shared" si="224"/>
        <v/>
      </c>
      <c r="CA133" s="184" t="str">
        <f t="shared" si="225"/>
        <v/>
      </c>
      <c r="CB133" s="184" t="str">
        <f t="shared" si="226"/>
        <v/>
      </c>
      <c r="CC133" s="184" t="str">
        <f t="shared" si="227"/>
        <v/>
      </c>
      <c r="CD133" s="184" t="str">
        <f t="shared" si="228"/>
        <v/>
      </c>
      <c r="CE133" s="184" t="str">
        <f t="shared" si="229"/>
        <v/>
      </c>
      <c r="CF133" s="184" t="str">
        <f t="shared" si="230"/>
        <v/>
      </c>
      <c r="CG133" s="184" t="str">
        <f t="shared" si="231"/>
        <v/>
      </c>
      <c r="CH133" s="184" t="str">
        <f t="shared" si="232"/>
        <v/>
      </c>
      <c r="CI133" s="184" t="str">
        <f t="shared" si="233"/>
        <v/>
      </c>
      <c r="CJ133" s="184" t="str">
        <f t="shared" si="234"/>
        <v/>
      </c>
      <c r="CK133" s="184"/>
      <c r="CM133" s="184"/>
      <c r="CN133"/>
      <c r="CP133"/>
      <c r="CR133"/>
      <c r="CT133"/>
      <c r="CV133"/>
      <c r="CX133"/>
      <c r="CZ133"/>
      <c r="DB133"/>
      <c r="DD133"/>
      <c r="DF133"/>
      <c r="ED133" s="184"/>
      <c r="EF133" s="184"/>
      <c r="EH133" s="184"/>
      <c r="EJ133" s="184"/>
      <c r="EL133" s="184"/>
      <c r="EN133" s="184"/>
      <c r="EP133" s="184"/>
      <c r="ER133" s="184"/>
      <c r="ET133" s="184"/>
      <c r="EV133" s="184"/>
      <c r="EX133" s="184"/>
      <c r="EZ133" s="184"/>
      <c r="FB133" s="184"/>
    </row>
    <row r="134" spans="1:158">
      <c r="A134" s="184">
        <f t="shared" si="193"/>
        <v>-3</v>
      </c>
      <c r="B134" s="18">
        <f t="shared" si="235"/>
        <v>3279.9999999999959</v>
      </c>
      <c r="C134" s="18">
        <f t="shared" si="236"/>
        <v>3600</v>
      </c>
      <c r="D134" s="18">
        <f t="shared" si="237"/>
        <v>4700</v>
      </c>
      <c r="E134" s="18">
        <f t="shared" si="238"/>
        <v>6620</v>
      </c>
      <c r="F134" s="18">
        <f t="shared" si="239"/>
        <v>3680.0000000000027</v>
      </c>
      <c r="G134" s="18">
        <f t="shared" si="240"/>
        <v>4160</v>
      </c>
      <c r="H134" s="18">
        <f t="shared" si="241"/>
        <v>4620</v>
      </c>
      <c r="I134" s="18">
        <f t="shared" si="242"/>
        <v>3360</v>
      </c>
      <c r="J134" s="18">
        <f t="shared" si="243"/>
        <v>4300</v>
      </c>
      <c r="K134" s="18">
        <f t="shared" si="244"/>
        <v>5180</v>
      </c>
      <c r="L134" s="18">
        <f t="shared" si="245"/>
        <v>5660.0000000000109</v>
      </c>
      <c r="M134" s="18">
        <f t="shared" si="246"/>
        <v>8980</v>
      </c>
      <c r="N134" s="18">
        <f t="shared" si="254"/>
        <v>6273.5555555555611</v>
      </c>
      <c r="O134" s="18">
        <f t="shared" si="255"/>
        <v>8435.555555555562</v>
      </c>
      <c r="P134" s="18">
        <f t="shared" si="256"/>
        <v>12323.555555555562</v>
      </c>
      <c r="Q134" s="18">
        <f t="shared" si="257"/>
        <v>11603.555555555562</v>
      </c>
      <c r="R134" s="18">
        <f t="shared" si="258"/>
        <v>17963.555555555562</v>
      </c>
      <c r="S134" s="18"/>
      <c r="T134" s="18"/>
      <c r="U134" s="18"/>
      <c r="V134" s="18"/>
      <c r="W134" s="18"/>
      <c r="X134" s="18">
        <f t="shared" si="170"/>
        <v>26550.000000000004</v>
      </c>
      <c r="Y134" s="18">
        <f t="shared" si="252"/>
        <v>23955.999999999942</v>
      </c>
      <c r="Z134" s="18">
        <f t="shared" si="171"/>
        <v>21840</v>
      </c>
      <c r="AA134" s="18">
        <f t="shared" si="172"/>
        <v>28080</v>
      </c>
      <c r="AB134" s="18">
        <f t="shared" si="173"/>
        <v>33440</v>
      </c>
      <c r="AC134" s="18">
        <f t="shared" si="259"/>
        <v>7343.555555555562</v>
      </c>
      <c r="AD134" s="18">
        <f t="shared" si="260"/>
        <v>9543.555555555562</v>
      </c>
      <c r="AE134" s="18">
        <f t="shared" si="261"/>
        <v>12243.555555555562</v>
      </c>
      <c r="AF134" s="18">
        <f t="shared" si="262"/>
        <v>16643.555555555562</v>
      </c>
      <c r="AG134" s="18">
        <f t="shared" si="263"/>
        <v>18943.555555555562</v>
      </c>
      <c r="AH134" s="18">
        <f t="shared" si="264"/>
        <v>9643.555555555562</v>
      </c>
      <c r="AI134" s="18">
        <f t="shared" si="265"/>
        <v>11643.555555555562</v>
      </c>
      <c r="AJ134" s="18">
        <f t="shared" si="266"/>
        <v>16643.555555555562</v>
      </c>
      <c r="AK134" s="18">
        <f t="shared" si="267"/>
        <v>19643.555555555562</v>
      </c>
      <c r="AL134" s="18">
        <f t="shared" si="175"/>
        <v>18480</v>
      </c>
      <c r="AM134" s="18">
        <f t="shared" si="176"/>
        <v>21000</v>
      </c>
      <c r="AN134" s="18">
        <f t="shared" si="177"/>
        <v>24024</v>
      </c>
      <c r="AO134" s="18">
        <f t="shared" si="178"/>
        <v>37800</v>
      </c>
      <c r="AP134" s="18">
        <f t="shared" si="179"/>
        <v>40320</v>
      </c>
      <c r="AQ134" s="18">
        <f t="shared" si="180"/>
        <v>45360</v>
      </c>
      <c r="AR134" s="18">
        <f t="shared" si="181"/>
        <v>123648</v>
      </c>
      <c r="AS134" s="18">
        <f t="shared" si="192"/>
        <v>45000</v>
      </c>
      <c r="AT134" s="184" t="str">
        <f t="shared" si="194"/>
        <v/>
      </c>
      <c r="AU134" s="184" t="str">
        <f t="shared" si="195"/>
        <v/>
      </c>
      <c r="AV134" s="184" t="str">
        <f t="shared" si="196"/>
        <v/>
      </c>
      <c r="AW134" s="184" t="str">
        <f t="shared" si="197"/>
        <v/>
      </c>
      <c r="AX134" s="184" t="str">
        <f t="shared" si="198"/>
        <v/>
      </c>
      <c r="AY134" s="184" t="str">
        <f t="shared" si="199"/>
        <v/>
      </c>
      <c r="AZ134" s="184" t="str">
        <f t="shared" si="200"/>
        <v/>
      </c>
      <c r="BA134" s="184" t="str">
        <f t="shared" si="201"/>
        <v/>
      </c>
      <c r="BB134" s="184" t="str">
        <f t="shared" si="202"/>
        <v/>
      </c>
      <c r="BC134" s="184" t="str">
        <f t="shared" si="203"/>
        <v/>
      </c>
      <c r="BD134" s="184" t="str">
        <f t="shared" si="204"/>
        <v/>
      </c>
      <c r="BE134" s="184" t="str">
        <f t="shared" si="205"/>
        <v/>
      </c>
      <c r="BF134" s="184" t="str">
        <f t="shared" si="206"/>
        <v/>
      </c>
      <c r="BG134" s="184" t="str">
        <f t="shared" si="207"/>
        <v/>
      </c>
      <c r="BH134" s="184" t="str">
        <f t="shared" si="208"/>
        <v/>
      </c>
      <c r="BI134" s="184" t="str">
        <f t="shared" si="209"/>
        <v/>
      </c>
      <c r="BJ134" s="184" t="str">
        <f t="shared" si="210"/>
        <v/>
      </c>
      <c r="BK134" s="184" t="str">
        <f t="shared" si="211"/>
        <v/>
      </c>
      <c r="BL134" s="184" t="str">
        <f t="shared" si="212"/>
        <v/>
      </c>
      <c r="BM134" s="184" t="str">
        <f t="shared" si="213"/>
        <v/>
      </c>
      <c r="BN134" s="184" t="str">
        <f t="shared" si="214"/>
        <v/>
      </c>
      <c r="BO134" s="184" t="str">
        <f t="shared" si="215"/>
        <v/>
      </c>
      <c r="BP134" s="184" t="str">
        <f t="shared" si="216"/>
        <v/>
      </c>
      <c r="BQ134" s="184" t="str">
        <f t="shared" si="217"/>
        <v/>
      </c>
      <c r="BR134" s="184" t="str">
        <f t="shared" ref="BR134:BT149" si="268">IF(AND(Z134&gt;=$AS134,Z133&lt;$AS133),1,"")</f>
        <v/>
      </c>
      <c r="BS134" s="184" t="str">
        <f t="shared" si="268"/>
        <v/>
      </c>
      <c r="BT134" s="184" t="str">
        <f t="shared" si="268"/>
        <v/>
      </c>
      <c r="BU134" s="184" t="str">
        <f t="shared" si="219"/>
        <v/>
      </c>
      <c r="BV134" s="184" t="str">
        <f t="shared" si="220"/>
        <v/>
      </c>
      <c r="BW134" s="184" t="str">
        <f t="shared" si="221"/>
        <v/>
      </c>
      <c r="BX134" s="184" t="str">
        <f t="shared" si="222"/>
        <v/>
      </c>
      <c r="BY134" s="184" t="str">
        <f t="shared" si="223"/>
        <v/>
      </c>
      <c r="BZ134" s="184" t="str">
        <f t="shared" si="224"/>
        <v/>
      </c>
      <c r="CA134" s="184" t="str">
        <f t="shared" si="225"/>
        <v/>
      </c>
      <c r="CB134" s="184" t="str">
        <f t="shared" si="226"/>
        <v/>
      </c>
      <c r="CC134" s="184" t="str">
        <f t="shared" si="227"/>
        <v/>
      </c>
      <c r="CD134" s="184" t="str">
        <f t="shared" si="228"/>
        <v/>
      </c>
      <c r="CE134" s="184" t="str">
        <f t="shared" si="229"/>
        <v/>
      </c>
      <c r="CF134" s="184" t="str">
        <f t="shared" si="230"/>
        <v/>
      </c>
      <c r="CG134" s="184" t="str">
        <f t="shared" si="231"/>
        <v/>
      </c>
      <c r="CH134" s="184" t="str">
        <f t="shared" si="232"/>
        <v/>
      </c>
      <c r="CI134" s="184">
        <f t="shared" si="233"/>
        <v>1</v>
      </c>
      <c r="CJ134" s="184" t="str">
        <f t="shared" si="234"/>
        <v/>
      </c>
      <c r="CK134" s="184"/>
      <c r="CM134" s="184"/>
      <c r="CN134"/>
      <c r="CP134"/>
      <c r="CR134"/>
      <c r="CT134"/>
      <c r="CV134"/>
      <c r="CX134"/>
      <c r="CZ134"/>
      <c r="DB134"/>
      <c r="DD134"/>
      <c r="DF134"/>
      <c r="ED134" s="184"/>
      <c r="EF134" s="184"/>
      <c r="EH134" s="184"/>
      <c r="EJ134" s="184"/>
      <c r="EL134" s="184"/>
      <c r="EN134" s="184"/>
      <c r="EP134" s="184"/>
      <c r="ER134" s="184"/>
      <c r="ET134" s="184"/>
      <c r="EV134" s="184"/>
      <c r="EX134" s="184"/>
      <c r="EZ134" s="184"/>
      <c r="FB134" s="184"/>
    </row>
    <row r="135" spans="1:158">
      <c r="A135" s="184">
        <f t="shared" si="193"/>
        <v>-2.5</v>
      </c>
      <c r="B135" s="18">
        <f t="shared" si="235"/>
        <v>3374.9999999999964</v>
      </c>
      <c r="C135" s="18">
        <f t="shared" si="236"/>
        <v>3750</v>
      </c>
      <c r="D135" s="18">
        <f t="shared" si="237"/>
        <v>4900</v>
      </c>
      <c r="E135" s="18">
        <f t="shared" si="238"/>
        <v>6800</v>
      </c>
      <c r="F135" s="18">
        <f t="shared" si="239"/>
        <v>3750.0000000000023</v>
      </c>
      <c r="G135" s="18">
        <f t="shared" si="240"/>
        <v>4275</v>
      </c>
      <c r="H135" s="18">
        <f t="shared" si="241"/>
        <v>4825</v>
      </c>
      <c r="I135" s="18">
        <f t="shared" si="242"/>
        <v>3450</v>
      </c>
      <c r="J135" s="18">
        <f t="shared" si="243"/>
        <v>4425</v>
      </c>
      <c r="K135" s="18">
        <f t="shared" si="244"/>
        <v>5350</v>
      </c>
      <c r="L135" s="18">
        <f t="shared" si="245"/>
        <v>5875.00000000001</v>
      </c>
      <c r="M135" s="18">
        <f t="shared" si="246"/>
        <v>9175</v>
      </c>
      <c r="N135" s="18">
        <f t="shared" si="254"/>
        <v>6358.3333333333385</v>
      </c>
      <c r="O135" s="18">
        <f t="shared" si="255"/>
        <v>8520.3333333333394</v>
      </c>
      <c r="P135" s="18">
        <f t="shared" si="256"/>
        <v>12408.333333333339</v>
      </c>
      <c r="Q135" s="18">
        <f t="shared" si="257"/>
        <v>11688.333333333339</v>
      </c>
      <c r="R135" s="18">
        <f t="shared" si="258"/>
        <v>18048.333333333339</v>
      </c>
      <c r="S135" s="18"/>
      <c r="T135" s="18"/>
      <c r="U135" s="18"/>
      <c r="V135" s="18"/>
      <c r="W135" s="18"/>
      <c r="X135" s="18">
        <f t="shared" si="170"/>
        <v>26780.625000000004</v>
      </c>
      <c r="Y135" s="18">
        <f t="shared" si="252"/>
        <v>24484.999999999945</v>
      </c>
      <c r="Z135" s="18">
        <f t="shared" si="171"/>
        <v>22050</v>
      </c>
      <c r="AA135" s="18">
        <f t="shared" si="172"/>
        <v>28350</v>
      </c>
      <c r="AB135" s="18">
        <f t="shared" si="173"/>
        <v>33825</v>
      </c>
      <c r="AC135" s="18">
        <f t="shared" si="259"/>
        <v>7428.3333333333394</v>
      </c>
      <c r="AD135" s="18">
        <f t="shared" si="260"/>
        <v>9628.3333333333394</v>
      </c>
      <c r="AE135" s="18">
        <f t="shared" si="261"/>
        <v>12328.333333333339</v>
      </c>
      <c r="AF135" s="18">
        <f t="shared" si="262"/>
        <v>16728.333333333339</v>
      </c>
      <c r="AG135" s="18">
        <f t="shared" si="263"/>
        <v>19028.333333333339</v>
      </c>
      <c r="AH135" s="18">
        <f t="shared" si="264"/>
        <v>9728.3333333333394</v>
      </c>
      <c r="AI135" s="18">
        <f t="shared" si="265"/>
        <v>11728.333333333339</v>
      </c>
      <c r="AJ135" s="18">
        <f t="shared" si="266"/>
        <v>16728.333333333339</v>
      </c>
      <c r="AK135" s="18">
        <f t="shared" si="267"/>
        <v>19728.333333333339</v>
      </c>
      <c r="AL135" s="18">
        <f t="shared" si="175"/>
        <v>18700</v>
      </c>
      <c r="AM135" s="18">
        <f t="shared" si="176"/>
        <v>21250</v>
      </c>
      <c r="AN135" s="18">
        <f t="shared" si="177"/>
        <v>24310</v>
      </c>
      <c r="AO135" s="18">
        <f t="shared" si="178"/>
        <v>38250</v>
      </c>
      <c r="AP135" s="18">
        <f t="shared" si="179"/>
        <v>40800</v>
      </c>
      <c r="AQ135" s="18">
        <f t="shared" si="180"/>
        <v>45900</v>
      </c>
      <c r="AR135" s="18">
        <f t="shared" si="181"/>
        <v>125120</v>
      </c>
      <c r="AS135" s="18">
        <f t="shared" si="192"/>
        <v>45000</v>
      </c>
      <c r="AT135" s="184" t="str">
        <f t="shared" si="194"/>
        <v/>
      </c>
      <c r="AU135" s="184" t="str">
        <f t="shared" si="195"/>
        <v/>
      </c>
      <c r="AV135" s="184" t="str">
        <f t="shared" si="196"/>
        <v/>
      </c>
      <c r="AW135" s="184" t="str">
        <f t="shared" si="197"/>
        <v/>
      </c>
      <c r="AX135" s="184" t="str">
        <f t="shared" si="198"/>
        <v/>
      </c>
      <c r="AY135" s="184" t="str">
        <f t="shared" si="199"/>
        <v/>
      </c>
      <c r="AZ135" s="184" t="str">
        <f t="shared" si="200"/>
        <v/>
      </c>
      <c r="BA135" s="184" t="str">
        <f t="shared" si="201"/>
        <v/>
      </c>
      <c r="BB135" s="184" t="str">
        <f t="shared" si="202"/>
        <v/>
      </c>
      <c r="BC135" s="184" t="str">
        <f t="shared" si="203"/>
        <v/>
      </c>
      <c r="BD135" s="184" t="str">
        <f t="shared" si="204"/>
        <v/>
      </c>
      <c r="BE135" s="184" t="str">
        <f t="shared" si="205"/>
        <v/>
      </c>
      <c r="BF135" s="184" t="str">
        <f t="shared" si="206"/>
        <v/>
      </c>
      <c r="BG135" s="184" t="str">
        <f t="shared" si="207"/>
        <v/>
      </c>
      <c r="BH135" s="184" t="str">
        <f t="shared" si="208"/>
        <v/>
      </c>
      <c r="BI135" s="184" t="str">
        <f t="shared" si="209"/>
        <v/>
      </c>
      <c r="BJ135" s="184" t="str">
        <f t="shared" si="210"/>
        <v/>
      </c>
      <c r="BK135" s="184" t="str">
        <f t="shared" si="211"/>
        <v/>
      </c>
      <c r="BL135" s="184" t="str">
        <f t="shared" si="212"/>
        <v/>
      </c>
      <c r="BM135" s="184" t="str">
        <f t="shared" si="213"/>
        <v/>
      </c>
      <c r="BN135" s="184" t="str">
        <f t="shared" si="214"/>
        <v/>
      </c>
      <c r="BO135" s="184" t="str">
        <f t="shared" si="215"/>
        <v/>
      </c>
      <c r="BP135" s="184" t="str">
        <f t="shared" si="216"/>
        <v/>
      </c>
      <c r="BQ135" s="184" t="str">
        <f t="shared" si="217"/>
        <v/>
      </c>
      <c r="BR135" s="184" t="str">
        <f t="shared" si="268"/>
        <v/>
      </c>
      <c r="BS135" s="184" t="str">
        <f t="shared" si="268"/>
        <v/>
      </c>
      <c r="BT135" s="184" t="str">
        <f t="shared" si="268"/>
        <v/>
      </c>
      <c r="BU135" s="184" t="str">
        <f t="shared" si="219"/>
        <v/>
      </c>
      <c r="BV135" s="184" t="str">
        <f t="shared" si="220"/>
        <v/>
      </c>
      <c r="BW135" s="184" t="str">
        <f t="shared" si="221"/>
        <v/>
      </c>
      <c r="BX135" s="184" t="str">
        <f t="shared" si="222"/>
        <v/>
      </c>
      <c r="BY135" s="184" t="str">
        <f t="shared" si="223"/>
        <v/>
      </c>
      <c r="BZ135" s="184" t="str">
        <f t="shared" si="224"/>
        <v/>
      </c>
      <c r="CA135" s="184" t="str">
        <f t="shared" si="225"/>
        <v/>
      </c>
      <c r="CB135" s="184" t="str">
        <f t="shared" si="226"/>
        <v/>
      </c>
      <c r="CC135" s="184" t="str">
        <f t="shared" si="227"/>
        <v/>
      </c>
      <c r="CD135" s="184" t="str">
        <f t="shared" si="228"/>
        <v/>
      </c>
      <c r="CE135" s="184" t="str">
        <f t="shared" si="229"/>
        <v/>
      </c>
      <c r="CF135" s="184" t="str">
        <f t="shared" si="230"/>
        <v/>
      </c>
      <c r="CG135" s="184" t="str">
        <f t="shared" si="231"/>
        <v/>
      </c>
      <c r="CH135" s="184" t="str">
        <f t="shared" si="232"/>
        <v/>
      </c>
      <c r="CI135" s="184" t="str">
        <f t="shared" si="233"/>
        <v/>
      </c>
      <c r="CJ135" s="184" t="str">
        <f t="shared" si="234"/>
        <v/>
      </c>
      <c r="CK135" s="184"/>
      <c r="CM135" s="184"/>
      <c r="CN135"/>
      <c r="CP135"/>
      <c r="CR135"/>
      <c r="CT135"/>
      <c r="CV135"/>
      <c r="CX135"/>
      <c r="CZ135"/>
      <c r="DB135"/>
      <c r="DD135"/>
      <c r="DF135"/>
      <c r="ED135" s="184"/>
      <c r="EF135" s="184"/>
      <c r="EH135" s="184"/>
      <c r="EJ135" s="184"/>
      <c r="EL135" s="184"/>
      <c r="EN135" s="184"/>
      <c r="EP135" s="184"/>
      <c r="ER135" s="184"/>
      <c r="ET135" s="184"/>
      <c r="EV135" s="184"/>
      <c r="EX135" s="184"/>
      <c r="EZ135" s="184"/>
      <c r="FB135" s="184"/>
    </row>
    <row r="136" spans="1:158">
      <c r="A136" s="184">
        <f t="shared" si="193"/>
        <v>-2</v>
      </c>
      <c r="B136" s="18">
        <f t="shared" si="235"/>
        <v>3469.9999999999968</v>
      </c>
      <c r="C136" s="18">
        <f t="shared" si="236"/>
        <v>3900</v>
      </c>
      <c r="D136" s="18">
        <f t="shared" si="237"/>
        <v>5100</v>
      </c>
      <c r="E136" s="18">
        <f t="shared" si="238"/>
        <v>6980</v>
      </c>
      <c r="F136" s="18">
        <f t="shared" si="239"/>
        <v>3820.0000000000018</v>
      </c>
      <c r="G136" s="18">
        <f t="shared" si="240"/>
        <v>4390</v>
      </c>
      <c r="H136" s="18">
        <f t="shared" si="241"/>
        <v>5030</v>
      </c>
      <c r="I136" s="18">
        <f t="shared" si="242"/>
        <v>3540</v>
      </c>
      <c r="J136" s="18">
        <f t="shared" si="243"/>
        <v>4550</v>
      </c>
      <c r="K136" s="18">
        <f t="shared" si="244"/>
        <v>5520</v>
      </c>
      <c r="L136" s="18">
        <f t="shared" si="245"/>
        <v>6090.0000000000091</v>
      </c>
      <c r="M136" s="18">
        <f t="shared" si="246"/>
        <v>9370</v>
      </c>
      <c r="N136" s="18">
        <f t="shared" si="254"/>
        <v>6443.1111111111159</v>
      </c>
      <c r="O136" s="18">
        <f t="shared" si="255"/>
        <v>8605.1111111111168</v>
      </c>
      <c r="P136" s="18">
        <f t="shared" si="256"/>
        <v>12493.111111111117</v>
      </c>
      <c r="Q136" s="18">
        <f t="shared" si="257"/>
        <v>11773.111111111117</v>
      </c>
      <c r="R136" s="18">
        <f t="shared" si="258"/>
        <v>18133.111111111117</v>
      </c>
      <c r="S136" s="18"/>
      <c r="T136" s="18"/>
      <c r="U136" s="18"/>
      <c r="V136" s="18"/>
      <c r="W136" s="18"/>
      <c r="X136" s="18">
        <f t="shared" si="170"/>
        <v>27011.250000000004</v>
      </c>
      <c r="Y136" s="18">
        <f t="shared" si="252"/>
        <v>25013.999999999949</v>
      </c>
      <c r="Z136" s="18">
        <f t="shared" si="171"/>
        <v>22260</v>
      </c>
      <c r="AA136" s="18">
        <f t="shared" si="172"/>
        <v>28620</v>
      </c>
      <c r="AB136" s="18">
        <f t="shared" si="173"/>
        <v>34210</v>
      </c>
      <c r="AC136" s="18">
        <f t="shared" si="259"/>
        <v>7513.1111111111168</v>
      </c>
      <c r="AD136" s="18">
        <f t="shared" si="260"/>
        <v>9713.1111111111168</v>
      </c>
      <c r="AE136" s="18">
        <f t="shared" si="261"/>
        <v>12413.111111111117</v>
      </c>
      <c r="AF136" s="18">
        <f t="shared" si="262"/>
        <v>16813.111111111117</v>
      </c>
      <c r="AG136" s="18">
        <f t="shared" si="263"/>
        <v>19113.111111111117</v>
      </c>
      <c r="AH136" s="18">
        <f t="shared" si="264"/>
        <v>9813.1111111111168</v>
      </c>
      <c r="AI136" s="18">
        <f t="shared" si="265"/>
        <v>11813.111111111117</v>
      </c>
      <c r="AJ136" s="18">
        <f t="shared" si="266"/>
        <v>16813.111111111117</v>
      </c>
      <c r="AK136" s="18">
        <f t="shared" si="267"/>
        <v>19813.111111111117</v>
      </c>
      <c r="AL136" s="18">
        <f t="shared" si="175"/>
        <v>18920</v>
      </c>
      <c r="AM136" s="18">
        <f t="shared" si="176"/>
        <v>21500</v>
      </c>
      <c r="AN136" s="18">
        <f t="shared" si="177"/>
        <v>24596</v>
      </c>
      <c r="AO136" s="18">
        <f t="shared" si="178"/>
        <v>38700</v>
      </c>
      <c r="AP136" s="18">
        <f t="shared" si="179"/>
        <v>41280</v>
      </c>
      <c r="AQ136" s="18">
        <f t="shared" si="180"/>
        <v>46440</v>
      </c>
      <c r="AR136" s="18">
        <f t="shared" si="181"/>
        <v>126592</v>
      </c>
      <c r="AS136" s="18">
        <f t="shared" si="192"/>
        <v>45000</v>
      </c>
      <c r="AT136" s="184" t="str">
        <f t="shared" si="194"/>
        <v/>
      </c>
      <c r="AU136" s="184" t="str">
        <f t="shared" si="195"/>
        <v/>
      </c>
      <c r="AV136" s="184" t="str">
        <f t="shared" si="196"/>
        <v/>
      </c>
      <c r="AW136" s="184" t="str">
        <f t="shared" si="197"/>
        <v/>
      </c>
      <c r="AX136" s="184" t="str">
        <f t="shared" si="198"/>
        <v/>
      </c>
      <c r="AY136" s="184" t="str">
        <f t="shared" si="199"/>
        <v/>
      </c>
      <c r="AZ136" s="184" t="str">
        <f t="shared" si="200"/>
        <v/>
      </c>
      <c r="BA136" s="184" t="str">
        <f t="shared" si="201"/>
        <v/>
      </c>
      <c r="BB136" s="184" t="str">
        <f t="shared" si="202"/>
        <v/>
      </c>
      <c r="BC136" s="184" t="str">
        <f t="shared" si="203"/>
        <v/>
      </c>
      <c r="BD136" s="184" t="str">
        <f t="shared" si="204"/>
        <v/>
      </c>
      <c r="BE136" s="184" t="str">
        <f t="shared" si="205"/>
        <v/>
      </c>
      <c r="BF136" s="184" t="str">
        <f t="shared" si="206"/>
        <v/>
      </c>
      <c r="BG136" s="184" t="str">
        <f t="shared" si="207"/>
        <v/>
      </c>
      <c r="BH136" s="184" t="str">
        <f t="shared" si="208"/>
        <v/>
      </c>
      <c r="BI136" s="184" t="str">
        <f t="shared" si="209"/>
        <v/>
      </c>
      <c r="BJ136" s="184" t="str">
        <f t="shared" si="210"/>
        <v/>
      </c>
      <c r="BK136" s="184" t="str">
        <f t="shared" si="211"/>
        <v/>
      </c>
      <c r="BL136" s="184" t="str">
        <f t="shared" si="212"/>
        <v/>
      </c>
      <c r="BM136" s="184" t="str">
        <f t="shared" si="213"/>
        <v/>
      </c>
      <c r="BN136" s="184" t="str">
        <f t="shared" si="214"/>
        <v/>
      </c>
      <c r="BO136" s="184" t="str">
        <f t="shared" si="215"/>
        <v/>
      </c>
      <c r="BP136" s="184" t="str">
        <f t="shared" si="216"/>
        <v/>
      </c>
      <c r="BQ136" s="184" t="str">
        <f t="shared" si="217"/>
        <v/>
      </c>
      <c r="BR136" s="184" t="str">
        <f t="shared" si="268"/>
        <v/>
      </c>
      <c r="BS136" s="184" t="str">
        <f t="shared" si="268"/>
        <v/>
      </c>
      <c r="BT136" s="184" t="str">
        <f t="shared" si="268"/>
        <v/>
      </c>
      <c r="BU136" s="184" t="str">
        <f t="shared" si="219"/>
        <v/>
      </c>
      <c r="BV136" s="184" t="str">
        <f t="shared" si="220"/>
        <v/>
      </c>
      <c r="BW136" s="184" t="str">
        <f t="shared" si="221"/>
        <v/>
      </c>
      <c r="BX136" s="184" t="str">
        <f t="shared" si="222"/>
        <v/>
      </c>
      <c r="BY136" s="184" t="str">
        <f t="shared" si="223"/>
        <v/>
      </c>
      <c r="BZ136" s="184" t="str">
        <f t="shared" si="224"/>
        <v/>
      </c>
      <c r="CA136" s="184" t="str">
        <f t="shared" si="225"/>
        <v/>
      </c>
      <c r="CB136" s="184" t="str">
        <f t="shared" si="226"/>
        <v/>
      </c>
      <c r="CC136" s="184" t="str">
        <f t="shared" si="227"/>
        <v/>
      </c>
      <c r="CD136" s="184" t="str">
        <f t="shared" si="228"/>
        <v/>
      </c>
      <c r="CE136" s="184" t="str">
        <f t="shared" si="229"/>
        <v/>
      </c>
      <c r="CF136" s="184" t="str">
        <f t="shared" si="230"/>
        <v/>
      </c>
      <c r="CG136" s="184" t="str">
        <f t="shared" si="231"/>
        <v/>
      </c>
      <c r="CH136" s="184" t="str">
        <f t="shared" si="232"/>
        <v/>
      </c>
      <c r="CI136" s="184" t="str">
        <f t="shared" si="233"/>
        <v/>
      </c>
      <c r="CJ136" s="184" t="str">
        <f t="shared" si="234"/>
        <v/>
      </c>
      <c r="CK136" s="184"/>
      <c r="CM136" s="184"/>
      <c r="CN136"/>
      <c r="CP136"/>
      <c r="CR136"/>
      <c r="CT136"/>
      <c r="CV136"/>
      <c r="CX136"/>
      <c r="CZ136"/>
      <c r="DB136"/>
      <c r="DD136"/>
      <c r="DF136"/>
      <c r="ED136" s="184"/>
      <c r="EF136" s="184"/>
      <c r="EH136" s="184"/>
      <c r="EJ136" s="184"/>
      <c r="EL136" s="184"/>
      <c r="EN136" s="184"/>
      <c r="EP136" s="184"/>
      <c r="ER136" s="184"/>
      <c r="ET136" s="184"/>
      <c r="EV136" s="184"/>
      <c r="EX136" s="184"/>
      <c r="EZ136" s="184"/>
      <c r="FB136" s="184"/>
    </row>
    <row r="137" spans="1:158">
      <c r="A137" s="184">
        <f t="shared" si="193"/>
        <v>-1.5</v>
      </c>
      <c r="B137" s="18">
        <f t="shared" si="235"/>
        <v>3564.9999999999973</v>
      </c>
      <c r="C137" s="18">
        <f t="shared" si="236"/>
        <v>4050</v>
      </c>
      <c r="D137" s="18">
        <f t="shared" si="237"/>
        <v>5300</v>
      </c>
      <c r="E137" s="18">
        <f t="shared" si="238"/>
        <v>7160</v>
      </c>
      <c r="F137" s="18">
        <f t="shared" si="239"/>
        <v>3890.0000000000014</v>
      </c>
      <c r="G137" s="18">
        <f t="shared" si="240"/>
        <v>4505</v>
      </c>
      <c r="H137" s="18">
        <f t="shared" si="241"/>
        <v>5235</v>
      </c>
      <c r="I137" s="18">
        <f t="shared" si="242"/>
        <v>3630</v>
      </c>
      <c r="J137" s="18">
        <f t="shared" si="243"/>
        <v>4675</v>
      </c>
      <c r="K137" s="18">
        <f t="shared" si="244"/>
        <v>5690</v>
      </c>
      <c r="L137" s="18">
        <f t="shared" si="245"/>
        <v>6305.0000000000082</v>
      </c>
      <c r="M137" s="18">
        <f t="shared" si="246"/>
        <v>9565</v>
      </c>
      <c r="N137" s="18">
        <f t="shared" si="254"/>
        <v>6527.8888888888932</v>
      </c>
      <c r="O137" s="18">
        <f t="shared" si="255"/>
        <v>8689.8888888888941</v>
      </c>
      <c r="P137" s="18">
        <f t="shared" si="256"/>
        <v>12577.888888888894</v>
      </c>
      <c r="Q137" s="18">
        <f t="shared" si="257"/>
        <v>11857.888888888894</v>
      </c>
      <c r="R137" s="18">
        <f t="shared" si="258"/>
        <v>18217.888888888894</v>
      </c>
      <c r="S137" s="18"/>
      <c r="T137" s="18"/>
      <c r="U137" s="18"/>
      <c r="V137" s="18"/>
      <c r="W137" s="18"/>
      <c r="X137" s="18">
        <f t="shared" si="170"/>
        <v>27241.875000000004</v>
      </c>
      <c r="Y137" s="18">
        <f t="shared" si="252"/>
        <v>25542.999999999953</v>
      </c>
      <c r="Z137" s="18">
        <f t="shared" si="171"/>
        <v>22470</v>
      </c>
      <c r="AA137" s="18">
        <f t="shared" si="172"/>
        <v>28890</v>
      </c>
      <c r="AB137" s="18">
        <f t="shared" si="173"/>
        <v>34595</v>
      </c>
      <c r="AC137" s="18">
        <f t="shared" si="259"/>
        <v>7597.8888888888941</v>
      </c>
      <c r="AD137" s="18">
        <f t="shared" si="260"/>
        <v>9797.8888888888941</v>
      </c>
      <c r="AE137" s="18">
        <f t="shared" si="261"/>
        <v>12497.888888888894</v>
      </c>
      <c r="AF137" s="18">
        <f t="shared" si="262"/>
        <v>16897.888888888894</v>
      </c>
      <c r="AG137" s="18">
        <f t="shared" si="263"/>
        <v>19197.888888888894</v>
      </c>
      <c r="AH137" s="18">
        <f t="shared" si="264"/>
        <v>9897.8888888888941</v>
      </c>
      <c r="AI137" s="18">
        <f t="shared" si="265"/>
        <v>11897.888888888894</v>
      </c>
      <c r="AJ137" s="18">
        <f t="shared" si="266"/>
        <v>16897.888888888894</v>
      </c>
      <c r="AK137" s="18">
        <f t="shared" si="267"/>
        <v>19897.888888888894</v>
      </c>
      <c r="AL137" s="18">
        <f t="shared" si="175"/>
        <v>19140</v>
      </c>
      <c r="AM137" s="18">
        <f t="shared" si="176"/>
        <v>21750</v>
      </c>
      <c r="AN137" s="18">
        <f t="shared" si="177"/>
        <v>24882</v>
      </c>
      <c r="AO137" s="18">
        <f t="shared" si="178"/>
        <v>39150</v>
      </c>
      <c r="AP137" s="18">
        <f t="shared" si="179"/>
        <v>41760</v>
      </c>
      <c r="AQ137" s="18">
        <f t="shared" si="180"/>
        <v>46980</v>
      </c>
      <c r="AR137" s="18">
        <f t="shared" si="181"/>
        <v>128064</v>
      </c>
      <c r="AS137" s="18">
        <f t="shared" si="192"/>
        <v>45000</v>
      </c>
      <c r="AT137" s="184" t="str">
        <f t="shared" si="194"/>
        <v/>
      </c>
      <c r="AU137" s="184" t="str">
        <f t="shared" si="195"/>
        <v/>
      </c>
      <c r="AV137" s="184" t="str">
        <f t="shared" si="196"/>
        <v/>
      </c>
      <c r="AW137" s="184" t="str">
        <f t="shared" si="197"/>
        <v/>
      </c>
      <c r="AX137" s="184" t="str">
        <f t="shared" si="198"/>
        <v/>
      </c>
      <c r="AY137" s="184" t="str">
        <f t="shared" si="199"/>
        <v/>
      </c>
      <c r="AZ137" s="184" t="str">
        <f t="shared" si="200"/>
        <v/>
      </c>
      <c r="BA137" s="184" t="str">
        <f t="shared" si="201"/>
        <v/>
      </c>
      <c r="BB137" s="184" t="str">
        <f t="shared" si="202"/>
        <v/>
      </c>
      <c r="BC137" s="184" t="str">
        <f t="shared" si="203"/>
        <v/>
      </c>
      <c r="BD137" s="184" t="str">
        <f t="shared" si="204"/>
        <v/>
      </c>
      <c r="BE137" s="184" t="str">
        <f t="shared" si="205"/>
        <v/>
      </c>
      <c r="BF137" s="184" t="str">
        <f t="shared" si="206"/>
        <v/>
      </c>
      <c r="BG137" s="184" t="str">
        <f t="shared" si="207"/>
        <v/>
      </c>
      <c r="BH137" s="184" t="str">
        <f t="shared" si="208"/>
        <v/>
      </c>
      <c r="BI137" s="184" t="str">
        <f t="shared" si="209"/>
        <v/>
      </c>
      <c r="BJ137" s="184" t="str">
        <f t="shared" si="210"/>
        <v/>
      </c>
      <c r="BK137" s="184" t="str">
        <f t="shared" si="211"/>
        <v/>
      </c>
      <c r="BL137" s="184" t="str">
        <f t="shared" si="212"/>
        <v/>
      </c>
      <c r="BM137" s="184" t="str">
        <f t="shared" si="213"/>
        <v/>
      </c>
      <c r="BN137" s="184" t="str">
        <f t="shared" si="214"/>
        <v/>
      </c>
      <c r="BO137" s="184" t="str">
        <f t="shared" si="215"/>
        <v/>
      </c>
      <c r="BP137" s="184" t="str">
        <f t="shared" si="216"/>
        <v/>
      </c>
      <c r="BQ137" s="184" t="str">
        <f t="shared" si="217"/>
        <v/>
      </c>
      <c r="BR137" s="184" t="str">
        <f t="shared" si="268"/>
        <v/>
      </c>
      <c r="BS137" s="184" t="str">
        <f t="shared" si="268"/>
        <v/>
      </c>
      <c r="BT137" s="184" t="str">
        <f t="shared" si="268"/>
        <v/>
      </c>
      <c r="BU137" s="184" t="str">
        <f t="shared" si="219"/>
        <v/>
      </c>
      <c r="BV137" s="184" t="str">
        <f t="shared" si="220"/>
        <v/>
      </c>
      <c r="BW137" s="184" t="str">
        <f t="shared" si="221"/>
        <v/>
      </c>
      <c r="BX137" s="184" t="str">
        <f t="shared" si="222"/>
        <v/>
      </c>
      <c r="BY137" s="184" t="str">
        <f t="shared" si="223"/>
        <v/>
      </c>
      <c r="BZ137" s="184" t="str">
        <f t="shared" si="224"/>
        <v/>
      </c>
      <c r="CA137" s="184" t="str">
        <f t="shared" si="225"/>
        <v/>
      </c>
      <c r="CB137" s="184" t="str">
        <f t="shared" si="226"/>
        <v/>
      </c>
      <c r="CC137" s="184" t="str">
        <f t="shared" si="227"/>
        <v/>
      </c>
      <c r="CD137" s="184" t="str">
        <f t="shared" si="228"/>
        <v/>
      </c>
      <c r="CE137" s="184" t="str">
        <f t="shared" si="229"/>
        <v/>
      </c>
      <c r="CF137" s="184" t="str">
        <f t="shared" si="230"/>
        <v/>
      </c>
      <c r="CG137" s="184" t="str">
        <f t="shared" si="231"/>
        <v/>
      </c>
      <c r="CH137" s="184" t="str">
        <f t="shared" si="232"/>
        <v/>
      </c>
      <c r="CI137" s="184" t="str">
        <f t="shared" si="233"/>
        <v/>
      </c>
      <c r="CJ137" s="184" t="str">
        <f t="shared" si="234"/>
        <v/>
      </c>
      <c r="CK137" s="184"/>
      <c r="CM137" s="184"/>
      <c r="CN137"/>
      <c r="CP137"/>
      <c r="CR137"/>
      <c r="CT137"/>
      <c r="CV137"/>
      <c r="CX137"/>
      <c r="CZ137"/>
      <c r="DB137"/>
      <c r="DD137"/>
      <c r="DF137"/>
      <c r="ED137" s="184"/>
      <c r="EF137" s="184"/>
      <c r="EH137" s="184"/>
      <c r="EJ137" s="184"/>
      <c r="EL137" s="184"/>
      <c r="EN137" s="184"/>
      <c r="EP137" s="184"/>
      <c r="ER137" s="184"/>
      <c r="ET137" s="184"/>
      <c r="EV137" s="184"/>
      <c r="EX137" s="184"/>
      <c r="EZ137" s="184"/>
      <c r="FB137" s="184"/>
    </row>
    <row r="138" spans="1:158">
      <c r="A138" s="184">
        <f t="shared" si="193"/>
        <v>-1</v>
      </c>
      <c r="B138" s="18">
        <f t="shared" si="235"/>
        <v>3659.9999999999977</v>
      </c>
      <c r="C138" s="18">
        <f t="shared" si="236"/>
        <v>4200</v>
      </c>
      <c r="D138" s="18">
        <f t="shared" si="237"/>
        <v>5500</v>
      </c>
      <c r="E138" s="18">
        <f t="shared" si="238"/>
        <v>7340</v>
      </c>
      <c r="F138" s="18">
        <f t="shared" si="239"/>
        <v>3960.0000000000009</v>
      </c>
      <c r="G138" s="18">
        <f t="shared" si="240"/>
        <v>4620</v>
      </c>
      <c r="H138" s="18">
        <f t="shared" si="241"/>
        <v>5440</v>
      </c>
      <c r="I138" s="18">
        <f t="shared" si="242"/>
        <v>3720</v>
      </c>
      <c r="J138" s="18">
        <f t="shared" si="243"/>
        <v>4800</v>
      </c>
      <c r="K138" s="18">
        <f t="shared" si="244"/>
        <v>5860</v>
      </c>
      <c r="L138" s="18">
        <f t="shared" si="245"/>
        <v>6520.0000000000073</v>
      </c>
      <c r="M138" s="18">
        <f t="shared" si="246"/>
        <v>9760</v>
      </c>
      <c r="N138" s="18">
        <f t="shared" si="254"/>
        <v>6612.6666666666706</v>
      </c>
      <c r="O138" s="18">
        <f t="shared" si="255"/>
        <v>8774.6666666666715</v>
      </c>
      <c r="P138" s="18">
        <f t="shared" si="256"/>
        <v>12662.666666666672</v>
      </c>
      <c r="Q138" s="18">
        <f t="shared" si="257"/>
        <v>11942.666666666672</v>
      </c>
      <c r="R138" s="18">
        <f t="shared" si="258"/>
        <v>18302.666666666672</v>
      </c>
      <c r="S138" s="18"/>
      <c r="T138" s="18"/>
      <c r="U138" s="18"/>
      <c r="V138" s="18"/>
      <c r="W138" s="18"/>
      <c r="X138" s="18">
        <f t="shared" si="170"/>
        <v>27472.500000000004</v>
      </c>
      <c r="Y138" s="18">
        <f t="shared" si="252"/>
        <v>26071.999999999956</v>
      </c>
      <c r="Z138" s="18">
        <f t="shared" si="171"/>
        <v>22680</v>
      </c>
      <c r="AA138" s="18">
        <f t="shared" si="172"/>
        <v>29160</v>
      </c>
      <c r="AB138" s="18">
        <f t="shared" si="173"/>
        <v>34980</v>
      </c>
      <c r="AC138" s="18">
        <f t="shared" si="259"/>
        <v>7682.6666666666715</v>
      </c>
      <c r="AD138" s="18">
        <f t="shared" si="260"/>
        <v>9882.6666666666715</v>
      </c>
      <c r="AE138" s="18">
        <f t="shared" si="261"/>
        <v>12582.666666666672</v>
      </c>
      <c r="AF138" s="18">
        <f t="shared" si="262"/>
        <v>16982.666666666672</v>
      </c>
      <c r="AG138" s="18">
        <f t="shared" si="263"/>
        <v>19282.666666666672</v>
      </c>
      <c r="AH138" s="18">
        <f t="shared" si="264"/>
        <v>9982.6666666666715</v>
      </c>
      <c r="AI138" s="18">
        <f t="shared" si="265"/>
        <v>11982.666666666672</v>
      </c>
      <c r="AJ138" s="18">
        <f t="shared" si="266"/>
        <v>16982.666666666672</v>
      </c>
      <c r="AK138" s="18">
        <f t="shared" si="267"/>
        <v>19982.666666666672</v>
      </c>
      <c r="AL138" s="18">
        <f t="shared" si="175"/>
        <v>19360</v>
      </c>
      <c r="AM138" s="18">
        <f t="shared" si="176"/>
        <v>22000</v>
      </c>
      <c r="AN138" s="18">
        <f t="shared" si="177"/>
        <v>25168</v>
      </c>
      <c r="AO138" s="18">
        <f t="shared" si="178"/>
        <v>39600</v>
      </c>
      <c r="AP138" s="18">
        <f t="shared" si="179"/>
        <v>42240</v>
      </c>
      <c r="AQ138" s="18">
        <f t="shared" si="180"/>
        <v>47520</v>
      </c>
      <c r="AR138" s="18">
        <f t="shared" si="181"/>
        <v>129536</v>
      </c>
      <c r="AS138" s="18">
        <f t="shared" si="192"/>
        <v>45000</v>
      </c>
      <c r="AT138" s="184" t="str">
        <f t="shared" si="194"/>
        <v/>
      </c>
      <c r="AU138" s="184" t="str">
        <f t="shared" si="195"/>
        <v/>
      </c>
      <c r="AV138" s="184" t="str">
        <f t="shared" si="196"/>
        <v/>
      </c>
      <c r="AW138" s="184" t="str">
        <f t="shared" si="197"/>
        <v/>
      </c>
      <c r="AX138" s="184" t="str">
        <f t="shared" si="198"/>
        <v/>
      </c>
      <c r="AY138" s="184" t="str">
        <f t="shared" si="199"/>
        <v/>
      </c>
      <c r="AZ138" s="184" t="str">
        <f t="shared" si="200"/>
        <v/>
      </c>
      <c r="BA138" s="184" t="str">
        <f t="shared" si="201"/>
        <v/>
      </c>
      <c r="BB138" s="184" t="str">
        <f t="shared" si="202"/>
        <v/>
      </c>
      <c r="BC138" s="184" t="str">
        <f t="shared" si="203"/>
        <v/>
      </c>
      <c r="BD138" s="184" t="str">
        <f t="shared" si="204"/>
        <v/>
      </c>
      <c r="BE138" s="184" t="str">
        <f t="shared" si="205"/>
        <v/>
      </c>
      <c r="BF138" s="184" t="str">
        <f t="shared" si="206"/>
        <v/>
      </c>
      <c r="BG138" s="184" t="str">
        <f t="shared" si="207"/>
        <v/>
      </c>
      <c r="BH138" s="184" t="str">
        <f t="shared" si="208"/>
        <v/>
      </c>
      <c r="BI138" s="184" t="str">
        <f t="shared" si="209"/>
        <v/>
      </c>
      <c r="BJ138" s="184" t="str">
        <f t="shared" si="210"/>
        <v/>
      </c>
      <c r="BK138" s="184" t="str">
        <f t="shared" si="211"/>
        <v/>
      </c>
      <c r="BL138" s="184" t="str">
        <f t="shared" si="212"/>
        <v/>
      </c>
      <c r="BM138" s="184" t="str">
        <f t="shared" si="213"/>
        <v/>
      </c>
      <c r="BN138" s="184" t="str">
        <f t="shared" si="214"/>
        <v/>
      </c>
      <c r="BO138" s="184" t="str">
        <f t="shared" si="215"/>
        <v/>
      </c>
      <c r="BP138" s="184" t="str">
        <f t="shared" si="216"/>
        <v/>
      </c>
      <c r="BQ138" s="184" t="str">
        <f t="shared" si="217"/>
        <v/>
      </c>
      <c r="BR138" s="184" t="str">
        <f t="shared" si="268"/>
        <v/>
      </c>
      <c r="BS138" s="184" t="str">
        <f t="shared" si="268"/>
        <v/>
      </c>
      <c r="BT138" s="184" t="str">
        <f t="shared" si="268"/>
        <v/>
      </c>
      <c r="BU138" s="184" t="str">
        <f t="shared" si="219"/>
        <v/>
      </c>
      <c r="BV138" s="184" t="str">
        <f t="shared" si="220"/>
        <v/>
      </c>
      <c r="BW138" s="184" t="str">
        <f t="shared" si="221"/>
        <v/>
      </c>
      <c r="BX138" s="184" t="str">
        <f t="shared" si="222"/>
        <v/>
      </c>
      <c r="BY138" s="184" t="str">
        <f t="shared" si="223"/>
        <v/>
      </c>
      <c r="BZ138" s="184" t="str">
        <f t="shared" si="224"/>
        <v/>
      </c>
      <c r="CA138" s="184" t="str">
        <f t="shared" si="225"/>
        <v/>
      </c>
      <c r="CB138" s="184" t="str">
        <f t="shared" si="226"/>
        <v/>
      </c>
      <c r="CC138" s="184" t="str">
        <f t="shared" si="227"/>
        <v/>
      </c>
      <c r="CD138" s="184" t="str">
        <f t="shared" si="228"/>
        <v/>
      </c>
      <c r="CE138" s="184" t="str">
        <f t="shared" si="229"/>
        <v/>
      </c>
      <c r="CF138" s="184" t="str">
        <f t="shared" si="230"/>
        <v/>
      </c>
      <c r="CG138" s="184" t="str">
        <f t="shared" si="231"/>
        <v/>
      </c>
      <c r="CH138" s="184" t="str">
        <f t="shared" si="232"/>
        <v/>
      </c>
      <c r="CI138" s="184" t="str">
        <f t="shared" si="233"/>
        <v/>
      </c>
      <c r="CJ138" s="184" t="str">
        <f t="shared" si="234"/>
        <v/>
      </c>
      <c r="CK138" s="184"/>
      <c r="CM138" s="184"/>
      <c r="CN138"/>
      <c r="CP138"/>
      <c r="CR138"/>
      <c r="CT138"/>
      <c r="CV138"/>
      <c r="CX138"/>
      <c r="CZ138"/>
      <c r="DB138"/>
      <c r="DD138"/>
      <c r="DF138"/>
      <c r="ED138" s="184"/>
      <c r="EF138" s="184"/>
      <c r="EH138" s="184"/>
      <c r="EJ138" s="184"/>
      <c r="EL138" s="184"/>
      <c r="EN138" s="184"/>
      <c r="EP138" s="184"/>
      <c r="ER138" s="184"/>
      <c r="ET138" s="184"/>
      <c r="EV138" s="184"/>
      <c r="EX138" s="184"/>
      <c r="EZ138" s="184"/>
      <c r="FB138" s="184"/>
    </row>
    <row r="139" spans="1:158">
      <c r="A139" s="184">
        <f t="shared" si="193"/>
        <v>-0.5</v>
      </c>
      <c r="B139" s="18">
        <f t="shared" si="235"/>
        <v>3754.9999999999982</v>
      </c>
      <c r="C139" s="18">
        <f t="shared" si="236"/>
        <v>4350</v>
      </c>
      <c r="D139" s="18">
        <f t="shared" si="237"/>
        <v>5700</v>
      </c>
      <c r="E139" s="18">
        <f t="shared" si="238"/>
        <v>7520</v>
      </c>
      <c r="F139" s="18">
        <f t="shared" si="239"/>
        <v>4030.0000000000005</v>
      </c>
      <c r="G139" s="18">
        <f t="shared" si="240"/>
        <v>4735</v>
      </c>
      <c r="H139" s="18">
        <f t="shared" si="241"/>
        <v>5645</v>
      </c>
      <c r="I139" s="18">
        <f t="shared" si="242"/>
        <v>3810</v>
      </c>
      <c r="J139" s="18">
        <f t="shared" si="243"/>
        <v>4925</v>
      </c>
      <c r="K139" s="18">
        <f t="shared" si="244"/>
        <v>6030</v>
      </c>
      <c r="L139" s="18">
        <f t="shared" si="245"/>
        <v>6735.0000000000064</v>
      </c>
      <c r="M139" s="18">
        <f t="shared" si="246"/>
        <v>9955</v>
      </c>
      <c r="N139" s="18">
        <f t="shared" si="254"/>
        <v>6697.444444444448</v>
      </c>
      <c r="O139" s="18">
        <f t="shared" si="255"/>
        <v>8859.4444444444489</v>
      </c>
      <c r="P139" s="18">
        <f t="shared" si="256"/>
        <v>12747.444444444449</v>
      </c>
      <c r="Q139" s="18">
        <f t="shared" si="257"/>
        <v>12027.444444444449</v>
      </c>
      <c r="R139" s="18">
        <f t="shared" si="258"/>
        <v>18387.444444444449</v>
      </c>
      <c r="S139" s="18"/>
      <c r="T139" s="18"/>
      <c r="U139" s="18"/>
      <c r="V139" s="18"/>
      <c r="W139" s="18"/>
      <c r="X139" s="18">
        <f t="shared" si="170"/>
        <v>27703.125000000004</v>
      </c>
      <c r="Y139" s="18">
        <f t="shared" si="252"/>
        <v>26600.99999999996</v>
      </c>
      <c r="Z139" s="18">
        <f t="shared" si="171"/>
        <v>22890</v>
      </c>
      <c r="AA139" s="18">
        <f t="shared" si="172"/>
        <v>29430</v>
      </c>
      <c r="AB139" s="18">
        <f t="shared" si="173"/>
        <v>35365</v>
      </c>
      <c r="AC139" s="18">
        <f t="shared" si="259"/>
        <v>7767.4444444444489</v>
      </c>
      <c r="AD139" s="18">
        <f t="shared" si="260"/>
        <v>9967.4444444444489</v>
      </c>
      <c r="AE139" s="18">
        <f t="shared" si="261"/>
        <v>12667.444444444449</v>
      </c>
      <c r="AF139" s="18">
        <f t="shared" si="262"/>
        <v>17067.444444444449</v>
      </c>
      <c r="AG139" s="18">
        <f t="shared" si="263"/>
        <v>19367.444444444449</v>
      </c>
      <c r="AH139" s="18">
        <f t="shared" si="264"/>
        <v>10067.444444444449</v>
      </c>
      <c r="AI139" s="18">
        <f t="shared" si="265"/>
        <v>12067.444444444449</v>
      </c>
      <c r="AJ139" s="18">
        <f t="shared" si="266"/>
        <v>17067.444444444449</v>
      </c>
      <c r="AK139" s="18">
        <f t="shared" si="267"/>
        <v>20067.444444444449</v>
      </c>
      <c r="AL139" s="18">
        <f t="shared" si="175"/>
        <v>19580</v>
      </c>
      <c r="AM139" s="18">
        <f t="shared" si="176"/>
        <v>22250</v>
      </c>
      <c r="AN139" s="18">
        <f t="shared" si="177"/>
        <v>25454</v>
      </c>
      <c r="AO139" s="18">
        <f t="shared" si="178"/>
        <v>40050</v>
      </c>
      <c r="AP139" s="18">
        <f t="shared" si="179"/>
        <v>42720</v>
      </c>
      <c r="AQ139" s="18">
        <f t="shared" si="180"/>
        <v>48060</v>
      </c>
      <c r="AR139" s="18">
        <f t="shared" si="181"/>
        <v>131008</v>
      </c>
      <c r="AS139" s="18">
        <f t="shared" si="192"/>
        <v>45000</v>
      </c>
      <c r="AT139" s="184" t="str">
        <f t="shared" si="194"/>
        <v/>
      </c>
      <c r="AU139" s="184" t="str">
        <f t="shared" si="195"/>
        <v/>
      </c>
      <c r="AV139" s="184" t="str">
        <f t="shared" si="196"/>
        <v/>
      </c>
      <c r="AW139" s="184" t="str">
        <f t="shared" si="197"/>
        <v/>
      </c>
      <c r="AX139" s="184" t="str">
        <f t="shared" si="198"/>
        <v/>
      </c>
      <c r="AY139" s="184" t="str">
        <f t="shared" si="199"/>
        <v/>
      </c>
      <c r="AZ139" s="184" t="str">
        <f t="shared" si="200"/>
        <v/>
      </c>
      <c r="BA139" s="184" t="str">
        <f t="shared" si="201"/>
        <v/>
      </c>
      <c r="BB139" s="184" t="str">
        <f t="shared" si="202"/>
        <v/>
      </c>
      <c r="BC139" s="184" t="str">
        <f t="shared" si="203"/>
        <v/>
      </c>
      <c r="BD139" s="184" t="str">
        <f t="shared" si="204"/>
        <v/>
      </c>
      <c r="BE139" s="184" t="str">
        <f t="shared" si="205"/>
        <v/>
      </c>
      <c r="BF139" s="184" t="str">
        <f t="shared" si="206"/>
        <v/>
      </c>
      <c r="BG139" s="184" t="str">
        <f t="shared" si="207"/>
        <v/>
      </c>
      <c r="BH139" s="184" t="str">
        <f t="shared" si="208"/>
        <v/>
      </c>
      <c r="BI139" s="184" t="str">
        <f t="shared" si="209"/>
        <v/>
      </c>
      <c r="BJ139" s="184" t="str">
        <f t="shared" si="210"/>
        <v/>
      </c>
      <c r="BK139" s="184" t="str">
        <f t="shared" si="211"/>
        <v/>
      </c>
      <c r="BL139" s="184" t="str">
        <f t="shared" si="212"/>
        <v/>
      </c>
      <c r="BM139" s="184" t="str">
        <f t="shared" si="213"/>
        <v/>
      </c>
      <c r="BN139" s="184" t="str">
        <f t="shared" si="214"/>
        <v/>
      </c>
      <c r="BO139" s="184" t="str">
        <f t="shared" si="215"/>
        <v/>
      </c>
      <c r="BP139" s="184" t="str">
        <f t="shared" si="216"/>
        <v/>
      </c>
      <c r="BQ139" s="184" t="str">
        <f t="shared" si="217"/>
        <v/>
      </c>
      <c r="BR139" s="184" t="str">
        <f t="shared" si="268"/>
        <v/>
      </c>
      <c r="BS139" s="184" t="str">
        <f t="shared" si="268"/>
        <v/>
      </c>
      <c r="BT139" s="184" t="str">
        <f t="shared" si="268"/>
        <v/>
      </c>
      <c r="BU139" s="184" t="str">
        <f t="shared" si="219"/>
        <v/>
      </c>
      <c r="BV139" s="184" t="str">
        <f t="shared" si="220"/>
        <v/>
      </c>
      <c r="BW139" s="184" t="str">
        <f t="shared" si="221"/>
        <v/>
      </c>
      <c r="BX139" s="184" t="str">
        <f t="shared" si="222"/>
        <v/>
      </c>
      <c r="BY139" s="184" t="str">
        <f t="shared" si="223"/>
        <v/>
      </c>
      <c r="BZ139" s="184" t="str">
        <f t="shared" si="224"/>
        <v/>
      </c>
      <c r="CA139" s="184" t="str">
        <f t="shared" si="225"/>
        <v/>
      </c>
      <c r="CB139" s="184" t="str">
        <f t="shared" si="226"/>
        <v/>
      </c>
      <c r="CC139" s="184" t="str">
        <f t="shared" si="227"/>
        <v/>
      </c>
      <c r="CD139" s="184" t="str">
        <f t="shared" si="228"/>
        <v/>
      </c>
      <c r="CE139" s="184" t="str">
        <f t="shared" si="229"/>
        <v/>
      </c>
      <c r="CF139" s="184" t="str">
        <f t="shared" si="230"/>
        <v/>
      </c>
      <c r="CG139" s="184" t="str">
        <f t="shared" si="231"/>
        <v/>
      </c>
      <c r="CH139" s="184" t="str">
        <f t="shared" si="232"/>
        <v/>
      </c>
      <c r="CI139" s="184" t="str">
        <f t="shared" si="233"/>
        <v/>
      </c>
      <c r="CJ139" s="184" t="str">
        <f t="shared" si="234"/>
        <v/>
      </c>
      <c r="CK139" s="184"/>
      <c r="CM139" s="184"/>
      <c r="CN139"/>
      <c r="CP139"/>
      <c r="CR139"/>
      <c r="CT139"/>
      <c r="CV139"/>
      <c r="CX139"/>
      <c r="CZ139"/>
      <c r="DB139"/>
      <c r="DD139"/>
      <c r="DF139"/>
      <c r="ED139" s="184"/>
      <c r="EF139" s="184"/>
      <c r="EH139" s="184"/>
      <c r="EJ139" s="184"/>
      <c r="EL139" s="184"/>
      <c r="EN139" s="184"/>
      <c r="EP139" s="184"/>
      <c r="ER139" s="184"/>
      <c r="ET139" s="184"/>
      <c r="EV139" s="184"/>
      <c r="EX139" s="184"/>
      <c r="EZ139" s="184"/>
      <c r="FB139" s="184"/>
    </row>
    <row r="140" spans="1:158">
      <c r="A140" s="184">
        <f t="shared" si="193"/>
        <v>0</v>
      </c>
      <c r="B140" s="18">
        <f t="shared" si="235"/>
        <v>3849.9999999999986</v>
      </c>
      <c r="C140" s="18">
        <f t="shared" si="236"/>
        <v>4500</v>
      </c>
      <c r="D140" s="18">
        <f t="shared" si="237"/>
        <v>5900</v>
      </c>
      <c r="E140" s="18">
        <f t="shared" si="238"/>
        <v>7700</v>
      </c>
      <c r="F140" s="18">
        <f t="shared" si="239"/>
        <v>4100</v>
      </c>
      <c r="G140" s="18">
        <f t="shared" si="240"/>
        <v>4850</v>
      </c>
      <c r="H140" s="18">
        <f t="shared" si="241"/>
        <v>5850</v>
      </c>
      <c r="I140" s="18">
        <f t="shared" si="242"/>
        <v>3900</v>
      </c>
      <c r="J140" s="18">
        <f t="shared" si="243"/>
        <v>5050</v>
      </c>
      <c r="K140" s="18">
        <f t="shared" si="244"/>
        <v>6200</v>
      </c>
      <c r="L140" s="18">
        <f t="shared" si="245"/>
        <v>6950.0000000000055</v>
      </c>
      <c r="M140" s="18">
        <f t="shared" si="246"/>
        <v>10150</v>
      </c>
      <c r="N140" s="18">
        <f t="shared" si="254"/>
        <v>6782.2222222222254</v>
      </c>
      <c r="O140" s="18">
        <f t="shared" si="255"/>
        <v>8944.2222222222263</v>
      </c>
      <c r="P140" s="18">
        <f t="shared" si="256"/>
        <v>12832.222222222226</v>
      </c>
      <c r="Q140" s="18">
        <f t="shared" si="257"/>
        <v>12112.222222222226</v>
      </c>
      <c r="R140" s="18">
        <f t="shared" si="258"/>
        <v>18472.222222222226</v>
      </c>
      <c r="S140" s="18"/>
      <c r="T140" s="18"/>
      <c r="U140" s="18"/>
      <c r="V140" s="18"/>
      <c r="W140" s="18"/>
      <c r="X140" s="18">
        <f t="shared" si="170"/>
        <v>27933.750000000004</v>
      </c>
      <c r="Y140" s="18">
        <f t="shared" si="252"/>
        <v>27129.999999999964</v>
      </c>
      <c r="Z140" s="18">
        <f t="shared" si="171"/>
        <v>23100</v>
      </c>
      <c r="AA140" s="18">
        <f t="shared" si="172"/>
        <v>29700</v>
      </c>
      <c r="AB140" s="18">
        <f t="shared" si="173"/>
        <v>35750</v>
      </c>
      <c r="AC140" s="18">
        <f t="shared" si="259"/>
        <v>7852.2222222222263</v>
      </c>
      <c r="AD140" s="18">
        <f t="shared" si="260"/>
        <v>10052.222222222226</v>
      </c>
      <c r="AE140" s="18">
        <f t="shared" si="261"/>
        <v>12752.222222222226</v>
      </c>
      <c r="AF140" s="18">
        <f t="shared" si="262"/>
        <v>17152.222222222226</v>
      </c>
      <c r="AG140" s="18">
        <f t="shared" si="263"/>
        <v>19452.222222222226</v>
      </c>
      <c r="AH140" s="18">
        <f t="shared" si="264"/>
        <v>10152.222222222226</v>
      </c>
      <c r="AI140" s="18">
        <f t="shared" si="265"/>
        <v>12152.222222222226</v>
      </c>
      <c r="AJ140" s="18">
        <f t="shared" si="266"/>
        <v>17152.222222222226</v>
      </c>
      <c r="AK140" s="18">
        <f t="shared" si="267"/>
        <v>20152.222222222226</v>
      </c>
      <c r="AL140" s="18">
        <f t="shared" si="175"/>
        <v>19800</v>
      </c>
      <c r="AM140" s="18">
        <f t="shared" si="176"/>
        <v>22500</v>
      </c>
      <c r="AN140" s="18">
        <f t="shared" si="177"/>
        <v>25740</v>
      </c>
      <c r="AO140" s="18">
        <f t="shared" si="178"/>
        <v>40500</v>
      </c>
      <c r="AP140" s="18">
        <f t="shared" si="179"/>
        <v>43200</v>
      </c>
      <c r="AQ140" s="18">
        <f t="shared" si="180"/>
        <v>48600</v>
      </c>
      <c r="AR140" s="18">
        <f t="shared" si="181"/>
        <v>132480</v>
      </c>
      <c r="AS140" s="18">
        <f t="shared" si="192"/>
        <v>45000</v>
      </c>
      <c r="AT140" s="184" t="str">
        <f t="shared" si="194"/>
        <v/>
      </c>
      <c r="AU140" s="184" t="str">
        <f t="shared" si="195"/>
        <v/>
      </c>
      <c r="AV140" s="184" t="str">
        <f t="shared" si="196"/>
        <v/>
      </c>
      <c r="AW140" s="184" t="str">
        <f t="shared" si="197"/>
        <v/>
      </c>
      <c r="AX140" s="184" t="str">
        <f t="shared" si="198"/>
        <v/>
      </c>
      <c r="AY140" s="184" t="str">
        <f t="shared" si="199"/>
        <v/>
      </c>
      <c r="AZ140" s="184" t="str">
        <f t="shared" si="200"/>
        <v/>
      </c>
      <c r="BA140" s="184" t="str">
        <f t="shared" si="201"/>
        <v/>
      </c>
      <c r="BB140" s="184" t="str">
        <f t="shared" si="202"/>
        <v/>
      </c>
      <c r="BC140" s="184" t="str">
        <f t="shared" si="203"/>
        <v/>
      </c>
      <c r="BD140" s="184" t="str">
        <f t="shared" si="204"/>
        <v/>
      </c>
      <c r="BE140" s="184" t="str">
        <f t="shared" si="205"/>
        <v/>
      </c>
      <c r="BF140" s="184" t="str">
        <f t="shared" si="206"/>
        <v/>
      </c>
      <c r="BG140" s="184" t="str">
        <f t="shared" si="207"/>
        <v/>
      </c>
      <c r="BH140" s="184" t="str">
        <f t="shared" si="208"/>
        <v/>
      </c>
      <c r="BI140" s="184" t="str">
        <f t="shared" si="209"/>
        <v/>
      </c>
      <c r="BJ140" s="184" t="str">
        <f t="shared" si="210"/>
        <v/>
      </c>
      <c r="BK140" s="184" t="str">
        <f t="shared" si="211"/>
        <v/>
      </c>
      <c r="BL140" s="184" t="str">
        <f t="shared" si="212"/>
        <v/>
      </c>
      <c r="BM140" s="184" t="str">
        <f t="shared" si="213"/>
        <v/>
      </c>
      <c r="BN140" s="184" t="str">
        <f t="shared" si="214"/>
        <v/>
      </c>
      <c r="BO140" s="184" t="str">
        <f t="shared" si="215"/>
        <v/>
      </c>
      <c r="BP140" s="184" t="str">
        <f t="shared" si="216"/>
        <v/>
      </c>
      <c r="BQ140" s="184" t="str">
        <f t="shared" si="217"/>
        <v/>
      </c>
      <c r="BR140" s="184" t="str">
        <f t="shared" si="268"/>
        <v/>
      </c>
      <c r="BS140" s="184" t="str">
        <f t="shared" si="268"/>
        <v/>
      </c>
      <c r="BT140" s="184" t="str">
        <f t="shared" si="268"/>
        <v/>
      </c>
      <c r="BU140" s="184" t="str">
        <f t="shared" si="219"/>
        <v/>
      </c>
      <c r="BV140" s="184" t="str">
        <f t="shared" si="220"/>
        <v/>
      </c>
      <c r="BW140" s="184" t="str">
        <f t="shared" si="221"/>
        <v/>
      </c>
      <c r="BX140" s="184" t="str">
        <f t="shared" si="222"/>
        <v/>
      </c>
      <c r="BY140" s="184" t="str">
        <f t="shared" si="223"/>
        <v/>
      </c>
      <c r="BZ140" s="184" t="str">
        <f t="shared" si="224"/>
        <v/>
      </c>
      <c r="CA140" s="184" t="str">
        <f t="shared" si="225"/>
        <v/>
      </c>
      <c r="CB140" s="184" t="str">
        <f t="shared" si="226"/>
        <v/>
      </c>
      <c r="CC140" s="184" t="str">
        <f t="shared" si="227"/>
        <v/>
      </c>
      <c r="CD140" s="184" t="str">
        <f t="shared" si="228"/>
        <v/>
      </c>
      <c r="CE140" s="184" t="str">
        <f t="shared" si="229"/>
        <v/>
      </c>
      <c r="CF140" s="184" t="str">
        <f t="shared" si="230"/>
        <v/>
      </c>
      <c r="CG140" s="184" t="str">
        <f t="shared" si="231"/>
        <v/>
      </c>
      <c r="CH140" s="184" t="str">
        <f t="shared" si="232"/>
        <v/>
      </c>
      <c r="CI140" s="184" t="str">
        <f t="shared" si="233"/>
        <v/>
      </c>
      <c r="CJ140" s="184" t="str">
        <f t="shared" si="234"/>
        <v/>
      </c>
      <c r="CK140" s="184"/>
      <c r="CM140" s="184"/>
      <c r="CN140"/>
      <c r="CP140"/>
      <c r="CR140"/>
      <c r="CT140"/>
      <c r="CV140"/>
      <c r="CX140"/>
      <c r="CZ140"/>
      <c r="DB140"/>
      <c r="DD140"/>
      <c r="DF140"/>
      <c r="ED140" s="184"/>
      <c r="EF140" s="184"/>
      <c r="EH140" s="184"/>
      <c r="EJ140" s="184"/>
      <c r="EL140" s="184"/>
      <c r="EN140" s="184"/>
      <c r="EP140" s="184"/>
      <c r="ER140" s="184"/>
      <c r="ET140" s="184"/>
      <c r="EV140" s="184"/>
      <c r="EX140" s="184"/>
      <c r="EZ140" s="184"/>
      <c r="FB140" s="184"/>
    </row>
    <row r="141" spans="1:158">
      <c r="A141" s="184">
        <f t="shared" si="193"/>
        <v>0.5</v>
      </c>
      <c r="B141" s="18">
        <f t="shared" si="235"/>
        <v>3944.9999999999991</v>
      </c>
      <c r="C141" s="18">
        <f t="shared" si="236"/>
        <v>4650</v>
      </c>
      <c r="D141" s="18">
        <f t="shared" si="237"/>
        <v>6100</v>
      </c>
      <c r="E141" s="18">
        <f t="shared" si="238"/>
        <v>7880</v>
      </c>
      <c r="F141" s="18">
        <f t="shared" si="239"/>
        <v>4170</v>
      </c>
      <c r="G141" s="18">
        <f t="shared" si="240"/>
        <v>4965</v>
      </c>
      <c r="H141" s="18">
        <f t="shared" si="241"/>
        <v>6055</v>
      </c>
      <c r="I141" s="18">
        <f t="shared" si="242"/>
        <v>3990</v>
      </c>
      <c r="J141" s="18">
        <f t="shared" si="243"/>
        <v>5175</v>
      </c>
      <c r="K141" s="18">
        <f t="shared" si="244"/>
        <v>6370</v>
      </c>
      <c r="L141" s="18">
        <f t="shared" si="245"/>
        <v>7165.0000000000045</v>
      </c>
      <c r="M141" s="18">
        <f t="shared" si="246"/>
        <v>10345</v>
      </c>
      <c r="N141" s="18">
        <f t="shared" si="254"/>
        <v>6867.0000000000027</v>
      </c>
      <c r="O141" s="18">
        <f t="shared" si="255"/>
        <v>9029.0000000000036</v>
      </c>
      <c r="P141" s="18">
        <f t="shared" si="256"/>
        <v>12917.000000000004</v>
      </c>
      <c r="Q141" s="18">
        <f t="shared" si="257"/>
        <v>12197.000000000004</v>
      </c>
      <c r="R141" s="18">
        <f t="shared" si="258"/>
        <v>18557.000000000004</v>
      </c>
      <c r="S141" s="18"/>
      <c r="T141" s="18"/>
      <c r="U141" s="18"/>
      <c r="V141" s="18"/>
      <c r="W141" s="18"/>
      <c r="X141" s="18">
        <f t="shared" si="170"/>
        <v>28164.375000000004</v>
      </c>
      <c r="Y141" s="18">
        <f t="shared" si="252"/>
        <v>27658.999999999967</v>
      </c>
      <c r="Z141" s="18">
        <f t="shared" si="171"/>
        <v>23310</v>
      </c>
      <c r="AA141" s="18">
        <f t="shared" si="172"/>
        <v>29970</v>
      </c>
      <c r="AB141" s="18">
        <f t="shared" si="173"/>
        <v>36135</v>
      </c>
      <c r="AC141" s="18">
        <f t="shared" si="259"/>
        <v>7937.0000000000036</v>
      </c>
      <c r="AD141" s="18">
        <f t="shared" si="260"/>
        <v>10137.000000000004</v>
      </c>
      <c r="AE141" s="18">
        <f t="shared" si="261"/>
        <v>12837.000000000004</v>
      </c>
      <c r="AF141" s="18">
        <f t="shared" si="262"/>
        <v>17237.000000000004</v>
      </c>
      <c r="AG141" s="18">
        <f t="shared" si="263"/>
        <v>19537.000000000004</v>
      </c>
      <c r="AH141" s="18">
        <f t="shared" si="264"/>
        <v>10237.000000000004</v>
      </c>
      <c r="AI141" s="18">
        <f t="shared" si="265"/>
        <v>12237.000000000004</v>
      </c>
      <c r="AJ141" s="18">
        <f t="shared" si="266"/>
        <v>17237.000000000004</v>
      </c>
      <c r="AK141" s="18">
        <f t="shared" si="267"/>
        <v>20237.000000000004</v>
      </c>
      <c r="AL141" s="18">
        <f t="shared" si="175"/>
        <v>20020</v>
      </c>
      <c r="AM141" s="18">
        <f t="shared" si="176"/>
        <v>22750</v>
      </c>
      <c r="AN141" s="18">
        <f t="shared" si="177"/>
        <v>26026</v>
      </c>
      <c r="AO141" s="18">
        <f t="shared" si="178"/>
        <v>40950</v>
      </c>
      <c r="AP141" s="18">
        <f t="shared" si="179"/>
        <v>43680</v>
      </c>
      <c r="AQ141" s="18">
        <f t="shared" si="180"/>
        <v>49140</v>
      </c>
      <c r="AR141" s="18">
        <f t="shared" si="181"/>
        <v>133952</v>
      </c>
      <c r="AS141" s="18">
        <f t="shared" si="192"/>
        <v>45000</v>
      </c>
      <c r="AT141" s="184" t="str">
        <f t="shared" si="194"/>
        <v/>
      </c>
      <c r="AU141" s="184" t="str">
        <f t="shared" si="195"/>
        <v/>
      </c>
      <c r="AV141" s="184" t="str">
        <f t="shared" si="196"/>
        <v/>
      </c>
      <c r="AW141" s="184" t="str">
        <f t="shared" si="197"/>
        <v/>
      </c>
      <c r="AX141" s="184" t="str">
        <f t="shared" si="198"/>
        <v/>
      </c>
      <c r="AY141" s="184" t="str">
        <f t="shared" si="199"/>
        <v/>
      </c>
      <c r="AZ141" s="184" t="str">
        <f t="shared" si="200"/>
        <v/>
      </c>
      <c r="BA141" s="184" t="str">
        <f t="shared" si="201"/>
        <v/>
      </c>
      <c r="BB141" s="184" t="str">
        <f t="shared" si="202"/>
        <v/>
      </c>
      <c r="BC141" s="184" t="str">
        <f t="shared" si="203"/>
        <v/>
      </c>
      <c r="BD141" s="184" t="str">
        <f t="shared" si="204"/>
        <v/>
      </c>
      <c r="BE141" s="184" t="str">
        <f t="shared" si="205"/>
        <v/>
      </c>
      <c r="BF141" s="184" t="str">
        <f t="shared" si="206"/>
        <v/>
      </c>
      <c r="BG141" s="184" t="str">
        <f t="shared" si="207"/>
        <v/>
      </c>
      <c r="BH141" s="184" t="str">
        <f t="shared" si="208"/>
        <v/>
      </c>
      <c r="BI141" s="184" t="str">
        <f t="shared" si="209"/>
        <v/>
      </c>
      <c r="BJ141" s="184" t="str">
        <f t="shared" si="210"/>
        <v/>
      </c>
      <c r="BK141" s="184" t="str">
        <f t="shared" si="211"/>
        <v/>
      </c>
      <c r="BL141" s="184" t="str">
        <f t="shared" si="212"/>
        <v/>
      </c>
      <c r="BM141" s="184" t="str">
        <f t="shared" si="213"/>
        <v/>
      </c>
      <c r="BN141" s="184" t="str">
        <f t="shared" si="214"/>
        <v/>
      </c>
      <c r="BO141" s="184" t="str">
        <f t="shared" si="215"/>
        <v/>
      </c>
      <c r="BP141" s="184" t="str">
        <f t="shared" si="216"/>
        <v/>
      </c>
      <c r="BQ141" s="184" t="str">
        <f t="shared" si="217"/>
        <v/>
      </c>
      <c r="BR141" s="184" t="str">
        <f t="shared" si="268"/>
        <v/>
      </c>
      <c r="BS141" s="184" t="str">
        <f t="shared" si="268"/>
        <v/>
      </c>
      <c r="BT141" s="184" t="str">
        <f t="shared" si="268"/>
        <v/>
      </c>
      <c r="BU141" s="184" t="str">
        <f t="shared" si="219"/>
        <v/>
      </c>
      <c r="BV141" s="184" t="str">
        <f t="shared" si="220"/>
        <v/>
      </c>
      <c r="BW141" s="184" t="str">
        <f t="shared" si="221"/>
        <v/>
      </c>
      <c r="BX141" s="184" t="str">
        <f t="shared" si="222"/>
        <v/>
      </c>
      <c r="BY141" s="184" t="str">
        <f t="shared" si="223"/>
        <v/>
      </c>
      <c r="BZ141" s="184" t="str">
        <f t="shared" si="224"/>
        <v/>
      </c>
      <c r="CA141" s="184" t="str">
        <f t="shared" si="225"/>
        <v/>
      </c>
      <c r="CB141" s="184" t="str">
        <f t="shared" si="226"/>
        <v/>
      </c>
      <c r="CC141" s="184" t="str">
        <f t="shared" si="227"/>
        <v/>
      </c>
      <c r="CD141" s="184" t="str">
        <f t="shared" si="228"/>
        <v/>
      </c>
      <c r="CE141" s="184" t="str">
        <f t="shared" si="229"/>
        <v/>
      </c>
      <c r="CF141" s="184" t="str">
        <f t="shared" si="230"/>
        <v/>
      </c>
      <c r="CG141" s="184" t="str">
        <f t="shared" si="231"/>
        <v/>
      </c>
      <c r="CH141" s="184" t="str">
        <f t="shared" si="232"/>
        <v/>
      </c>
      <c r="CI141" s="184" t="str">
        <f t="shared" si="233"/>
        <v/>
      </c>
      <c r="CJ141" s="184" t="str">
        <f t="shared" si="234"/>
        <v/>
      </c>
      <c r="CK141" s="184"/>
      <c r="CM141" s="184"/>
      <c r="CN141"/>
      <c r="CP141"/>
      <c r="CR141"/>
      <c r="CT141"/>
      <c r="CV141"/>
      <c r="CX141"/>
      <c r="CZ141"/>
      <c r="DB141"/>
      <c r="DD141"/>
      <c r="DF141"/>
      <c r="ED141" s="184"/>
      <c r="EF141" s="184"/>
      <c r="EH141" s="184"/>
      <c r="EJ141" s="184"/>
      <c r="EL141" s="184"/>
      <c r="EN141" s="184"/>
      <c r="EP141" s="184"/>
      <c r="ER141" s="184"/>
      <c r="ET141" s="184"/>
      <c r="EV141" s="184"/>
      <c r="EX141" s="184"/>
      <c r="EZ141" s="184"/>
      <c r="FB141" s="184"/>
    </row>
    <row r="142" spans="1:158">
      <c r="A142" s="184">
        <f t="shared" si="193"/>
        <v>1</v>
      </c>
      <c r="B142" s="18">
        <f t="shared" si="235"/>
        <v>4039.9999999999995</v>
      </c>
      <c r="C142" s="18">
        <f t="shared" si="236"/>
        <v>4800</v>
      </c>
      <c r="D142" s="18">
        <f t="shared" si="237"/>
        <v>6300</v>
      </c>
      <c r="E142" s="18">
        <f t="shared" si="238"/>
        <v>8060</v>
      </c>
      <c r="F142" s="18">
        <f t="shared" si="239"/>
        <v>4240</v>
      </c>
      <c r="G142" s="18">
        <f t="shared" si="240"/>
        <v>5080</v>
      </c>
      <c r="H142" s="18">
        <f t="shared" si="241"/>
        <v>6260</v>
      </c>
      <c r="I142" s="18">
        <f t="shared" si="242"/>
        <v>4080</v>
      </c>
      <c r="J142" s="18">
        <f t="shared" si="243"/>
        <v>5300</v>
      </c>
      <c r="K142" s="18">
        <f t="shared" si="244"/>
        <v>6540</v>
      </c>
      <c r="L142" s="18">
        <f t="shared" si="245"/>
        <v>7380.0000000000036</v>
      </c>
      <c r="M142" s="18">
        <f t="shared" si="246"/>
        <v>10540</v>
      </c>
      <c r="N142" s="18">
        <f t="shared" si="254"/>
        <v>6951.7777777777801</v>
      </c>
      <c r="O142" s="18">
        <f t="shared" si="255"/>
        <v>9113.777777777781</v>
      </c>
      <c r="P142" s="18">
        <f t="shared" si="256"/>
        <v>13001.777777777781</v>
      </c>
      <c r="Q142" s="18">
        <f t="shared" si="257"/>
        <v>12281.777777777781</v>
      </c>
      <c r="R142" s="18">
        <f t="shared" si="258"/>
        <v>18641.777777777781</v>
      </c>
      <c r="S142" s="18"/>
      <c r="T142" s="18"/>
      <c r="U142" s="18"/>
      <c r="V142" s="18"/>
      <c r="W142" s="18"/>
      <c r="X142" s="18">
        <f t="shared" si="170"/>
        <v>28395.000000000004</v>
      </c>
      <c r="Y142" s="18">
        <f t="shared" si="252"/>
        <v>28187.999999999971</v>
      </c>
      <c r="Z142" s="18">
        <f t="shared" si="171"/>
        <v>23520</v>
      </c>
      <c r="AA142" s="18">
        <f t="shared" si="172"/>
        <v>30240</v>
      </c>
      <c r="AB142" s="18">
        <f t="shared" si="173"/>
        <v>36520</v>
      </c>
      <c r="AC142" s="18">
        <f t="shared" si="259"/>
        <v>8021.777777777781</v>
      </c>
      <c r="AD142" s="18">
        <f t="shared" si="260"/>
        <v>10221.777777777781</v>
      </c>
      <c r="AE142" s="18">
        <f t="shared" si="261"/>
        <v>12921.777777777781</v>
      </c>
      <c r="AF142" s="18">
        <f t="shared" si="262"/>
        <v>17321.777777777781</v>
      </c>
      <c r="AG142" s="18">
        <f t="shared" si="263"/>
        <v>19621.777777777781</v>
      </c>
      <c r="AH142" s="18">
        <f t="shared" si="264"/>
        <v>10321.777777777781</v>
      </c>
      <c r="AI142" s="18">
        <f t="shared" si="265"/>
        <v>12321.777777777781</v>
      </c>
      <c r="AJ142" s="18">
        <f t="shared" si="266"/>
        <v>17321.777777777781</v>
      </c>
      <c r="AK142" s="18">
        <f t="shared" si="267"/>
        <v>20321.777777777781</v>
      </c>
      <c r="AL142" s="18">
        <f t="shared" si="175"/>
        <v>20240</v>
      </c>
      <c r="AM142" s="18">
        <f t="shared" si="176"/>
        <v>23000</v>
      </c>
      <c r="AN142" s="18">
        <f t="shared" si="177"/>
        <v>26312</v>
      </c>
      <c r="AO142" s="18">
        <f t="shared" si="178"/>
        <v>41400</v>
      </c>
      <c r="AP142" s="18">
        <f t="shared" si="179"/>
        <v>44160</v>
      </c>
      <c r="AQ142" s="18">
        <f t="shared" si="180"/>
        <v>49680</v>
      </c>
      <c r="AR142" s="18">
        <f t="shared" si="181"/>
        <v>135424</v>
      </c>
      <c r="AS142" s="18">
        <f t="shared" si="192"/>
        <v>45000</v>
      </c>
      <c r="AT142" s="184" t="str">
        <f t="shared" si="194"/>
        <v/>
      </c>
      <c r="AU142" s="184" t="str">
        <f t="shared" si="195"/>
        <v/>
      </c>
      <c r="AV142" s="184" t="str">
        <f t="shared" si="196"/>
        <v/>
      </c>
      <c r="AW142" s="184" t="str">
        <f t="shared" si="197"/>
        <v/>
      </c>
      <c r="AX142" s="184" t="str">
        <f t="shared" si="198"/>
        <v/>
      </c>
      <c r="AY142" s="184" t="str">
        <f t="shared" si="199"/>
        <v/>
      </c>
      <c r="AZ142" s="184" t="str">
        <f t="shared" si="200"/>
        <v/>
      </c>
      <c r="BA142" s="184" t="str">
        <f t="shared" si="201"/>
        <v/>
      </c>
      <c r="BB142" s="184" t="str">
        <f t="shared" si="202"/>
        <v/>
      </c>
      <c r="BC142" s="184" t="str">
        <f t="shared" si="203"/>
        <v/>
      </c>
      <c r="BD142" s="184" t="str">
        <f t="shared" si="204"/>
        <v/>
      </c>
      <c r="BE142" s="184" t="str">
        <f t="shared" si="205"/>
        <v/>
      </c>
      <c r="BF142" s="184" t="str">
        <f t="shared" si="206"/>
        <v/>
      </c>
      <c r="BG142" s="184" t="str">
        <f t="shared" si="207"/>
        <v/>
      </c>
      <c r="BH142" s="184" t="str">
        <f t="shared" si="208"/>
        <v/>
      </c>
      <c r="BI142" s="184" t="str">
        <f t="shared" si="209"/>
        <v/>
      </c>
      <c r="BJ142" s="184" t="str">
        <f t="shared" si="210"/>
        <v/>
      </c>
      <c r="BK142" s="184" t="str">
        <f t="shared" si="211"/>
        <v/>
      </c>
      <c r="BL142" s="184" t="str">
        <f t="shared" si="212"/>
        <v/>
      </c>
      <c r="BM142" s="184" t="str">
        <f t="shared" si="213"/>
        <v/>
      </c>
      <c r="BN142" s="184" t="str">
        <f t="shared" si="214"/>
        <v/>
      </c>
      <c r="BO142" s="184" t="str">
        <f t="shared" si="215"/>
        <v/>
      </c>
      <c r="BP142" s="184" t="str">
        <f t="shared" si="216"/>
        <v/>
      </c>
      <c r="BQ142" s="184" t="str">
        <f t="shared" si="217"/>
        <v/>
      </c>
      <c r="BR142" s="184" t="str">
        <f t="shared" si="268"/>
        <v/>
      </c>
      <c r="BS142" s="184" t="str">
        <f t="shared" si="268"/>
        <v/>
      </c>
      <c r="BT142" s="184" t="str">
        <f t="shared" si="268"/>
        <v/>
      </c>
      <c r="BU142" s="184" t="str">
        <f t="shared" si="219"/>
        <v/>
      </c>
      <c r="BV142" s="184" t="str">
        <f t="shared" si="220"/>
        <v/>
      </c>
      <c r="BW142" s="184" t="str">
        <f t="shared" si="221"/>
        <v/>
      </c>
      <c r="BX142" s="184" t="str">
        <f t="shared" si="222"/>
        <v/>
      </c>
      <c r="BY142" s="184" t="str">
        <f t="shared" si="223"/>
        <v/>
      </c>
      <c r="BZ142" s="184" t="str">
        <f t="shared" si="224"/>
        <v/>
      </c>
      <c r="CA142" s="184" t="str">
        <f t="shared" si="225"/>
        <v/>
      </c>
      <c r="CB142" s="184" t="str">
        <f t="shared" si="226"/>
        <v/>
      </c>
      <c r="CC142" s="184" t="str">
        <f t="shared" si="227"/>
        <v/>
      </c>
      <c r="CD142" s="184" t="str">
        <f t="shared" si="228"/>
        <v/>
      </c>
      <c r="CE142" s="184" t="str">
        <f t="shared" si="229"/>
        <v/>
      </c>
      <c r="CF142" s="184" t="str">
        <f t="shared" si="230"/>
        <v/>
      </c>
      <c r="CG142" s="184" t="str">
        <f t="shared" si="231"/>
        <v/>
      </c>
      <c r="CH142" s="184" t="str">
        <f t="shared" si="232"/>
        <v/>
      </c>
      <c r="CI142" s="184" t="str">
        <f t="shared" si="233"/>
        <v/>
      </c>
      <c r="CJ142" s="184" t="str">
        <f t="shared" si="234"/>
        <v/>
      </c>
      <c r="CK142" s="184"/>
      <c r="CM142" s="184"/>
      <c r="CN142"/>
      <c r="CP142"/>
      <c r="CR142"/>
      <c r="CT142"/>
      <c r="CV142"/>
      <c r="CX142"/>
      <c r="CZ142"/>
      <c r="DB142"/>
      <c r="DD142"/>
      <c r="DF142"/>
      <c r="ED142" s="184"/>
      <c r="EF142" s="184"/>
      <c r="EH142" s="184"/>
      <c r="EJ142" s="184"/>
      <c r="EL142" s="184"/>
      <c r="EN142" s="184"/>
      <c r="EP142" s="184"/>
      <c r="ER142" s="184"/>
      <c r="ET142" s="184"/>
      <c r="EV142" s="184"/>
      <c r="EX142" s="184"/>
      <c r="EZ142" s="184"/>
      <c r="FB142" s="184"/>
    </row>
    <row r="143" spans="1:158">
      <c r="A143" s="184">
        <f t="shared" si="193"/>
        <v>1.5</v>
      </c>
      <c r="B143" s="18">
        <f t="shared" si="235"/>
        <v>4135</v>
      </c>
      <c r="C143" s="18">
        <f t="shared" si="236"/>
        <v>4950</v>
      </c>
      <c r="D143" s="18">
        <f t="shared" si="237"/>
        <v>6500</v>
      </c>
      <c r="E143" s="18">
        <f t="shared" si="238"/>
        <v>8240</v>
      </c>
      <c r="F143" s="18">
        <f t="shared" si="239"/>
        <v>4310</v>
      </c>
      <c r="G143" s="18">
        <f t="shared" si="240"/>
        <v>5195</v>
      </c>
      <c r="H143" s="18">
        <f t="shared" si="241"/>
        <v>6465</v>
      </c>
      <c r="I143" s="18">
        <f t="shared" si="242"/>
        <v>4170</v>
      </c>
      <c r="J143" s="18">
        <f t="shared" si="243"/>
        <v>5425</v>
      </c>
      <c r="K143" s="18">
        <f t="shared" si="244"/>
        <v>6710</v>
      </c>
      <c r="L143" s="18">
        <f t="shared" si="245"/>
        <v>7595.0000000000027</v>
      </c>
      <c r="M143" s="18">
        <f t="shared" si="246"/>
        <v>10735</v>
      </c>
      <c r="N143" s="18">
        <f t="shared" si="254"/>
        <v>7036.5555555555575</v>
      </c>
      <c r="O143" s="18">
        <f t="shared" si="255"/>
        <v>9198.5555555555584</v>
      </c>
      <c r="P143" s="18">
        <f t="shared" si="256"/>
        <v>13086.555555555558</v>
      </c>
      <c r="Q143" s="18">
        <f t="shared" si="257"/>
        <v>12366.555555555558</v>
      </c>
      <c r="R143" s="18">
        <f t="shared" si="258"/>
        <v>18726.555555555558</v>
      </c>
      <c r="S143" s="18">
        <f t="shared" ref="S143:S148" si="269">S144-(S$151-S$150)*1.2</f>
        <v>9425</v>
      </c>
      <c r="T143" s="18">
        <f t="shared" ref="T143:T148" si="270">T144-(T$151-T$150)*1.2</f>
        <v>11872.5</v>
      </c>
      <c r="U143" s="18">
        <f t="shared" ref="U143:U148" si="271">U144-(U$151-U$150)*1.2</f>
        <v>13768.04000000001</v>
      </c>
      <c r="V143" s="18">
        <f t="shared" ref="V143:V148" si="272">V144-(V$151-V$150)*1.2</f>
        <v>16376.400000000005</v>
      </c>
      <c r="W143" s="18">
        <f t="shared" ref="W143:W148" si="273">W144-(W$151-W$150)*1.2</f>
        <v>20561.479999999996</v>
      </c>
      <c r="X143" s="18">
        <f t="shared" si="170"/>
        <v>28625.625000000004</v>
      </c>
      <c r="Y143" s="18">
        <f t="shared" si="252"/>
        <v>28716.999999999975</v>
      </c>
      <c r="Z143" s="18">
        <f t="shared" si="171"/>
        <v>23730</v>
      </c>
      <c r="AA143" s="18">
        <f t="shared" si="172"/>
        <v>30510</v>
      </c>
      <c r="AB143" s="18">
        <f t="shared" si="173"/>
        <v>36905</v>
      </c>
      <c r="AC143" s="18">
        <f t="shared" si="259"/>
        <v>8106.5555555555584</v>
      </c>
      <c r="AD143" s="18">
        <f t="shared" si="260"/>
        <v>10306.555555555558</v>
      </c>
      <c r="AE143" s="18">
        <f t="shared" si="261"/>
        <v>13006.555555555558</v>
      </c>
      <c r="AF143" s="18">
        <f t="shared" si="262"/>
        <v>17406.555555555558</v>
      </c>
      <c r="AG143" s="18">
        <f t="shared" si="263"/>
        <v>19706.555555555558</v>
      </c>
      <c r="AH143" s="18">
        <f t="shared" si="264"/>
        <v>10406.555555555558</v>
      </c>
      <c r="AI143" s="18">
        <f t="shared" si="265"/>
        <v>12406.555555555558</v>
      </c>
      <c r="AJ143" s="18">
        <f t="shared" si="266"/>
        <v>17406.555555555558</v>
      </c>
      <c r="AK143" s="18">
        <f t="shared" si="267"/>
        <v>20406.555555555558</v>
      </c>
      <c r="AL143" s="18">
        <f t="shared" si="175"/>
        <v>20460</v>
      </c>
      <c r="AM143" s="18">
        <f t="shared" si="176"/>
        <v>23250</v>
      </c>
      <c r="AN143" s="18">
        <f t="shared" si="177"/>
        <v>26598</v>
      </c>
      <c r="AO143" s="18">
        <f t="shared" si="178"/>
        <v>41850</v>
      </c>
      <c r="AP143" s="18">
        <f t="shared" si="179"/>
        <v>44640</v>
      </c>
      <c r="AQ143" s="18">
        <f t="shared" si="180"/>
        <v>50220</v>
      </c>
      <c r="AR143" s="18">
        <f t="shared" si="181"/>
        <v>136896</v>
      </c>
      <c r="AS143" s="18">
        <f t="shared" si="192"/>
        <v>45000</v>
      </c>
      <c r="AT143" s="184" t="str">
        <f t="shared" si="194"/>
        <v/>
      </c>
      <c r="AU143" s="184" t="str">
        <f t="shared" si="195"/>
        <v/>
      </c>
      <c r="AV143" s="184" t="str">
        <f t="shared" si="196"/>
        <v/>
      </c>
      <c r="AW143" s="184" t="str">
        <f t="shared" si="197"/>
        <v/>
      </c>
      <c r="AX143" s="184" t="str">
        <f t="shared" si="198"/>
        <v/>
      </c>
      <c r="AY143" s="184" t="str">
        <f t="shared" si="199"/>
        <v/>
      </c>
      <c r="AZ143" s="184" t="str">
        <f t="shared" si="200"/>
        <v/>
      </c>
      <c r="BA143" s="184" t="str">
        <f t="shared" si="201"/>
        <v/>
      </c>
      <c r="BB143" s="184" t="str">
        <f t="shared" si="202"/>
        <v/>
      </c>
      <c r="BC143" s="184" t="str">
        <f t="shared" si="203"/>
        <v/>
      </c>
      <c r="BD143" s="184" t="str">
        <f t="shared" si="204"/>
        <v/>
      </c>
      <c r="BE143" s="184" t="str">
        <f t="shared" si="205"/>
        <v/>
      </c>
      <c r="BF143" s="184" t="str">
        <f t="shared" si="206"/>
        <v/>
      </c>
      <c r="BG143" s="184" t="str">
        <f t="shared" si="207"/>
        <v/>
      </c>
      <c r="BH143" s="184" t="str">
        <f t="shared" si="208"/>
        <v/>
      </c>
      <c r="BI143" s="184" t="str">
        <f t="shared" si="209"/>
        <v/>
      </c>
      <c r="BJ143" s="184" t="str">
        <f t="shared" si="210"/>
        <v/>
      </c>
      <c r="BK143" s="184" t="str">
        <f t="shared" si="211"/>
        <v/>
      </c>
      <c r="BL143" s="184" t="str">
        <f t="shared" si="212"/>
        <v/>
      </c>
      <c r="BM143" s="184" t="str">
        <f t="shared" si="213"/>
        <v/>
      </c>
      <c r="BN143" s="184" t="str">
        <f t="shared" si="214"/>
        <v/>
      </c>
      <c r="BO143" s="184" t="str">
        <f t="shared" si="215"/>
        <v/>
      </c>
      <c r="BP143" s="184" t="str">
        <f t="shared" si="216"/>
        <v/>
      </c>
      <c r="BQ143" s="184" t="str">
        <f t="shared" si="217"/>
        <v/>
      </c>
      <c r="BR143" s="184" t="str">
        <f t="shared" si="268"/>
        <v/>
      </c>
      <c r="BS143" s="184" t="str">
        <f t="shared" si="268"/>
        <v/>
      </c>
      <c r="BT143" s="184" t="str">
        <f t="shared" si="268"/>
        <v/>
      </c>
      <c r="BU143" s="184" t="str">
        <f t="shared" si="219"/>
        <v/>
      </c>
      <c r="BV143" s="184" t="str">
        <f t="shared" si="220"/>
        <v/>
      </c>
      <c r="BW143" s="184" t="str">
        <f t="shared" si="221"/>
        <v/>
      </c>
      <c r="BX143" s="184" t="str">
        <f t="shared" si="222"/>
        <v/>
      </c>
      <c r="BY143" s="184" t="str">
        <f t="shared" si="223"/>
        <v/>
      </c>
      <c r="BZ143" s="184" t="str">
        <f t="shared" si="224"/>
        <v/>
      </c>
      <c r="CA143" s="184" t="str">
        <f t="shared" si="225"/>
        <v/>
      </c>
      <c r="CB143" s="184" t="str">
        <f t="shared" si="226"/>
        <v/>
      </c>
      <c r="CC143" s="184" t="str">
        <f t="shared" si="227"/>
        <v/>
      </c>
      <c r="CD143" s="184" t="str">
        <f t="shared" si="228"/>
        <v/>
      </c>
      <c r="CE143" s="184" t="str">
        <f t="shared" si="229"/>
        <v/>
      </c>
      <c r="CF143" s="184" t="str">
        <f t="shared" si="230"/>
        <v/>
      </c>
      <c r="CG143" s="184" t="str">
        <f t="shared" si="231"/>
        <v/>
      </c>
      <c r="CH143" s="184" t="str">
        <f t="shared" si="232"/>
        <v/>
      </c>
      <c r="CI143" s="184" t="str">
        <f t="shared" si="233"/>
        <v/>
      </c>
      <c r="CJ143" s="184" t="str">
        <f t="shared" si="234"/>
        <v/>
      </c>
      <c r="CK143" s="184"/>
      <c r="CM143" s="184"/>
      <c r="CN143"/>
      <c r="CP143"/>
      <c r="CR143"/>
      <c r="CT143"/>
      <c r="CV143"/>
      <c r="CX143"/>
      <c r="CZ143"/>
      <c r="DB143"/>
      <c r="DD143"/>
      <c r="DF143"/>
      <c r="ED143" s="184"/>
      <c r="EF143" s="184"/>
      <c r="EH143" s="184"/>
      <c r="EJ143" s="184"/>
      <c r="EL143" s="184"/>
      <c r="EN143" s="184"/>
      <c r="EP143" s="184"/>
      <c r="ER143" s="184"/>
      <c r="ET143" s="184"/>
      <c r="EV143" s="184"/>
      <c r="EX143" s="184"/>
      <c r="EZ143" s="184"/>
      <c r="FB143" s="184"/>
    </row>
    <row r="144" spans="1:158">
      <c r="A144" s="184">
        <f t="shared" si="193"/>
        <v>2</v>
      </c>
      <c r="B144" s="18">
        <f t="shared" si="235"/>
        <v>4230</v>
      </c>
      <c r="C144" s="18">
        <f t="shared" si="236"/>
        <v>5100</v>
      </c>
      <c r="D144" s="18">
        <f t="shared" si="237"/>
        <v>6700</v>
      </c>
      <c r="E144" s="18">
        <f t="shared" si="238"/>
        <v>8420</v>
      </c>
      <c r="F144" s="18">
        <f t="shared" si="239"/>
        <v>4380</v>
      </c>
      <c r="G144" s="18">
        <f t="shared" si="240"/>
        <v>5310</v>
      </c>
      <c r="H144" s="18">
        <f t="shared" si="241"/>
        <v>6670</v>
      </c>
      <c r="I144" s="18">
        <f t="shared" si="242"/>
        <v>4260</v>
      </c>
      <c r="J144" s="18">
        <f t="shared" si="243"/>
        <v>5550</v>
      </c>
      <c r="K144" s="18">
        <f t="shared" si="244"/>
        <v>6880</v>
      </c>
      <c r="L144" s="18">
        <f t="shared" si="245"/>
        <v>7810.0000000000018</v>
      </c>
      <c r="M144" s="18">
        <f t="shared" si="246"/>
        <v>10930</v>
      </c>
      <c r="N144" s="18">
        <f t="shared" si="254"/>
        <v>7121.3333333333348</v>
      </c>
      <c r="O144" s="18">
        <f t="shared" si="255"/>
        <v>9283.3333333333358</v>
      </c>
      <c r="P144" s="18">
        <f t="shared" si="256"/>
        <v>13171.333333333336</v>
      </c>
      <c r="Q144" s="18">
        <f t="shared" si="257"/>
        <v>12451.333333333336</v>
      </c>
      <c r="R144" s="18">
        <f t="shared" si="258"/>
        <v>18811.333333333336</v>
      </c>
      <c r="S144" s="18">
        <f t="shared" si="269"/>
        <v>9650</v>
      </c>
      <c r="T144" s="18">
        <f t="shared" si="270"/>
        <v>12105</v>
      </c>
      <c r="U144" s="18">
        <f t="shared" si="271"/>
        <v>14048.320000000009</v>
      </c>
      <c r="V144" s="18">
        <f t="shared" si="272"/>
        <v>16711.200000000004</v>
      </c>
      <c r="W144" s="18">
        <f t="shared" si="273"/>
        <v>20981.839999999997</v>
      </c>
      <c r="X144" s="18">
        <f t="shared" si="170"/>
        <v>28856.250000000004</v>
      </c>
      <c r="Y144" s="18">
        <f t="shared" si="252"/>
        <v>29245.999999999978</v>
      </c>
      <c r="Z144" s="18">
        <f t="shared" si="171"/>
        <v>23940</v>
      </c>
      <c r="AA144" s="18">
        <f t="shared" si="172"/>
        <v>30780</v>
      </c>
      <c r="AB144" s="18">
        <f t="shared" si="173"/>
        <v>37290</v>
      </c>
      <c r="AC144" s="18">
        <f t="shared" si="259"/>
        <v>8191.3333333333358</v>
      </c>
      <c r="AD144" s="18">
        <f t="shared" si="260"/>
        <v>10391.333333333336</v>
      </c>
      <c r="AE144" s="18">
        <f t="shared" si="261"/>
        <v>13091.333333333336</v>
      </c>
      <c r="AF144" s="18">
        <f t="shared" si="262"/>
        <v>17491.333333333336</v>
      </c>
      <c r="AG144" s="18">
        <f t="shared" si="263"/>
        <v>19791.333333333336</v>
      </c>
      <c r="AH144" s="18">
        <f t="shared" si="264"/>
        <v>10491.333333333336</v>
      </c>
      <c r="AI144" s="18">
        <f t="shared" si="265"/>
        <v>12491.333333333336</v>
      </c>
      <c r="AJ144" s="18">
        <f t="shared" si="266"/>
        <v>17491.333333333336</v>
      </c>
      <c r="AK144" s="18">
        <f t="shared" si="267"/>
        <v>20491.333333333336</v>
      </c>
      <c r="AL144" s="18">
        <f t="shared" si="175"/>
        <v>20680</v>
      </c>
      <c r="AM144" s="18">
        <f t="shared" si="176"/>
        <v>23500</v>
      </c>
      <c r="AN144" s="18">
        <f t="shared" si="177"/>
        <v>26884</v>
      </c>
      <c r="AO144" s="18">
        <f t="shared" si="178"/>
        <v>42300</v>
      </c>
      <c r="AP144" s="18">
        <f t="shared" si="179"/>
        <v>45120</v>
      </c>
      <c r="AQ144" s="18">
        <f t="shared" si="180"/>
        <v>50760</v>
      </c>
      <c r="AR144" s="18">
        <f t="shared" si="181"/>
        <v>138368</v>
      </c>
      <c r="AS144" s="18">
        <f t="shared" si="192"/>
        <v>45000</v>
      </c>
      <c r="AT144" s="184" t="str">
        <f t="shared" si="194"/>
        <v/>
      </c>
      <c r="AU144" s="184" t="str">
        <f t="shared" si="195"/>
        <v/>
      </c>
      <c r="AV144" s="184" t="str">
        <f t="shared" si="196"/>
        <v/>
      </c>
      <c r="AW144" s="184" t="str">
        <f t="shared" si="197"/>
        <v/>
      </c>
      <c r="AX144" s="184" t="str">
        <f t="shared" si="198"/>
        <v/>
      </c>
      <c r="AY144" s="184" t="str">
        <f t="shared" si="199"/>
        <v/>
      </c>
      <c r="AZ144" s="184" t="str">
        <f t="shared" si="200"/>
        <v/>
      </c>
      <c r="BA144" s="184" t="str">
        <f t="shared" si="201"/>
        <v/>
      </c>
      <c r="BB144" s="184" t="str">
        <f t="shared" si="202"/>
        <v/>
      </c>
      <c r="BC144" s="184" t="str">
        <f t="shared" si="203"/>
        <v/>
      </c>
      <c r="BD144" s="184" t="str">
        <f t="shared" si="204"/>
        <v/>
      </c>
      <c r="BE144" s="184" t="str">
        <f t="shared" si="205"/>
        <v/>
      </c>
      <c r="BF144" s="184" t="str">
        <f t="shared" si="206"/>
        <v/>
      </c>
      <c r="BG144" s="184" t="str">
        <f t="shared" si="207"/>
        <v/>
      </c>
      <c r="BH144" s="184" t="str">
        <f t="shared" si="208"/>
        <v/>
      </c>
      <c r="BI144" s="184" t="str">
        <f t="shared" si="209"/>
        <v/>
      </c>
      <c r="BJ144" s="184" t="str">
        <f t="shared" si="210"/>
        <v/>
      </c>
      <c r="BK144" s="184" t="str">
        <f t="shared" si="211"/>
        <v/>
      </c>
      <c r="BL144" s="184" t="str">
        <f t="shared" si="212"/>
        <v/>
      </c>
      <c r="BM144" s="184" t="str">
        <f t="shared" si="213"/>
        <v/>
      </c>
      <c r="BN144" s="184" t="str">
        <f t="shared" si="214"/>
        <v/>
      </c>
      <c r="BO144" s="184" t="str">
        <f t="shared" si="215"/>
        <v/>
      </c>
      <c r="BP144" s="184" t="str">
        <f t="shared" si="216"/>
        <v/>
      </c>
      <c r="BQ144" s="184" t="str">
        <f t="shared" si="217"/>
        <v/>
      </c>
      <c r="BR144" s="184" t="str">
        <f t="shared" si="268"/>
        <v/>
      </c>
      <c r="BS144" s="184" t="str">
        <f t="shared" si="268"/>
        <v/>
      </c>
      <c r="BT144" s="184" t="str">
        <f t="shared" si="268"/>
        <v/>
      </c>
      <c r="BU144" s="184" t="str">
        <f t="shared" si="219"/>
        <v/>
      </c>
      <c r="BV144" s="184" t="str">
        <f t="shared" si="220"/>
        <v/>
      </c>
      <c r="BW144" s="184" t="str">
        <f t="shared" si="221"/>
        <v/>
      </c>
      <c r="BX144" s="184" t="str">
        <f t="shared" si="222"/>
        <v/>
      </c>
      <c r="BY144" s="184" t="str">
        <f t="shared" si="223"/>
        <v/>
      </c>
      <c r="BZ144" s="184" t="str">
        <f t="shared" si="224"/>
        <v/>
      </c>
      <c r="CA144" s="184" t="str">
        <f t="shared" si="225"/>
        <v/>
      </c>
      <c r="CB144" s="184" t="str">
        <f t="shared" si="226"/>
        <v/>
      </c>
      <c r="CC144" s="184" t="str">
        <f t="shared" si="227"/>
        <v/>
      </c>
      <c r="CD144" s="184" t="str">
        <f t="shared" si="228"/>
        <v/>
      </c>
      <c r="CE144" s="184" t="str">
        <f t="shared" si="229"/>
        <v/>
      </c>
      <c r="CF144" s="184" t="str">
        <f t="shared" si="230"/>
        <v/>
      </c>
      <c r="CG144" s="184" t="str">
        <f t="shared" si="231"/>
        <v/>
      </c>
      <c r="CH144" s="184">
        <f t="shared" si="232"/>
        <v>1</v>
      </c>
      <c r="CI144" s="184" t="str">
        <f t="shared" si="233"/>
        <v/>
      </c>
      <c r="CJ144" s="184" t="str">
        <f t="shared" si="234"/>
        <v/>
      </c>
      <c r="CK144" s="184"/>
      <c r="CM144" s="184"/>
      <c r="CN144"/>
      <c r="CP144"/>
      <c r="CR144"/>
      <c r="CT144"/>
      <c r="CV144"/>
      <c r="CX144"/>
      <c r="CZ144"/>
      <c r="DB144"/>
      <c r="DD144"/>
      <c r="DF144"/>
      <c r="ED144" s="184"/>
      <c r="EF144" s="184"/>
      <c r="EH144" s="184"/>
      <c r="EJ144" s="184"/>
      <c r="EL144" s="184"/>
      <c r="EN144" s="184"/>
      <c r="EP144" s="184"/>
      <c r="ER144" s="184"/>
      <c r="ET144" s="184"/>
      <c r="EV144" s="184"/>
      <c r="EX144" s="184"/>
      <c r="EZ144" s="184"/>
      <c r="FB144" s="184"/>
    </row>
    <row r="145" spans="1:158">
      <c r="A145" s="184">
        <f t="shared" si="193"/>
        <v>2.5</v>
      </c>
      <c r="B145" s="18">
        <f t="shared" si="235"/>
        <v>4325</v>
      </c>
      <c r="C145" s="18">
        <f t="shared" si="236"/>
        <v>5250</v>
      </c>
      <c r="D145" s="18">
        <f t="shared" si="237"/>
        <v>6900</v>
      </c>
      <c r="E145" s="18">
        <f t="shared" si="238"/>
        <v>8600</v>
      </c>
      <c r="F145" s="18">
        <f t="shared" si="239"/>
        <v>4450</v>
      </c>
      <c r="G145" s="18">
        <f t="shared" si="240"/>
        <v>5425</v>
      </c>
      <c r="H145" s="18">
        <f t="shared" si="241"/>
        <v>6875</v>
      </c>
      <c r="I145" s="18">
        <f t="shared" si="242"/>
        <v>4350</v>
      </c>
      <c r="J145" s="18">
        <f t="shared" si="243"/>
        <v>5675</v>
      </c>
      <c r="K145" s="18">
        <f t="shared" si="244"/>
        <v>7050</v>
      </c>
      <c r="L145" s="18">
        <f t="shared" si="245"/>
        <v>8025.0000000000009</v>
      </c>
      <c r="M145" s="18">
        <f t="shared" si="246"/>
        <v>11125</v>
      </c>
      <c r="N145" s="18">
        <f t="shared" si="254"/>
        <v>7206.1111111111122</v>
      </c>
      <c r="O145" s="18">
        <f t="shared" si="255"/>
        <v>9368.1111111111131</v>
      </c>
      <c r="P145" s="18">
        <f t="shared" si="256"/>
        <v>13256.111111111113</v>
      </c>
      <c r="Q145" s="18">
        <f t="shared" si="257"/>
        <v>12536.111111111113</v>
      </c>
      <c r="R145" s="18">
        <f t="shared" si="258"/>
        <v>18896.111111111113</v>
      </c>
      <c r="S145" s="18">
        <f t="shared" si="269"/>
        <v>9875</v>
      </c>
      <c r="T145" s="18">
        <f t="shared" si="270"/>
        <v>12337.5</v>
      </c>
      <c r="U145" s="18">
        <f t="shared" si="271"/>
        <v>14328.600000000008</v>
      </c>
      <c r="V145" s="18">
        <f t="shared" si="272"/>
        <v>17046.000000000004</v>
      </c>
      <c r="W145" s="18">
        <f t="shared" si="273"/>
        <v>21402.199999999997</v>
      </c>
      <c r="X145" s="18">
        <f t="shared" si="170"/>
        <v>29086.875000000004</v>
      </c>
      <c r="Y145" s="18">
        <f t="shared" si="252"/>
        <v>29774.999999999982</v>
      </c>
      <c r="Z145" s="18">
        <f t="shared" si="171"/>
        <v>24150</v>
      </c>
      <c r="AA145" s="18">
        <f t="shared" si="172"/>
        <v>31050</v>
      </c>
      <c r="AB145" s="18">
        <f t="shared" si="173"/>
        <v>37675</v>
      </c>
      <c r="AC145" s="18">
        <f t="shared" si="259"/>
        <v>8276.1111111111131</v>
      </c>
      <c r="AD145" s="18">
        <f t="shared" si="260"/>
        <v>10476.111111111113</v>
      </c>
      <c r="AE145" s="18">
        <f t="shared" si="261"/>
        <v>13176.111111111113</v>
      </c>
      <c r="AF145" s="18">
        <f t="shared" si="262"/>
        <v>17576.111111111113</v>
      </c>
      <c r="AG145" s="18">
        <f t="shared" si="263"/>
        <v>19876.111111111113</v>
      </c>
      <c r="AH145" s="18">
        <f t="shared" si="264"/>
        <v>10576.111111111113</v>
      </c>
      <c r="AI145" s="18">
        <f t="shared" si="265"/>
        <v>12576.111111111113</v>
      </c>
      <c r="AJ145" s="18">
        <f t="shared" si="266"/>
        <v>17576.111111111113</v>
      </c>
      <c r="AK145" s="18">
        <f t="shared" si="267"/>
        <v>20576.111111111113</v>
      </c>
      <c r="AL145" s="18">
        <f t="shared" si="175"/>
        <v>20900</v>
      </c>
      <c r="AM145" s="18">
        <f t="shared" si="176"/>
        <v>23750</v>
      </c>
      <c r="AN145" s="18">
        <f t="shared" si="177"/>
        <v>27170</v>
      </c>
      <c r="AO145" s="18">
        <f t="shared" si="178"/>
        <v>42750</v>
      </c>
      <c r="AP145" s="18">
        <f t="shared" si="179"/>
        <v>45600</v>
      </c>
      <c r="AQ145" s="18">
        <f t="shared" si="180"/>
        <v>51300</v>
      </c>
      <c r="AR145" s="18">
        <f t="shared" si="181"/>
        <v>139840</v>
      </c>
      <c r="AS145" s="18">
        <f t="shared" si="192"/>
        <v>45000</v>
      </c>
      <c r="AT145" s="184" t="str">
        <f t="shared" si="194"/>
        <v/>
      </c>
      <c r="AU145" s="184" t="str">
        <f t="shared" si="195"/>
        <v/>
      </c>
      <c r="AV145" s="184" t="str">
        <f t="shared" si="196"/>
        <v/>
      </c>
      <c r="AW145" s="184" t="str">
        <f t="shared" si="197"/>
        <v/>
      </c>
      <c r="AX145" s="184" t="str">
        <f t="shared" si="198"/>
        <v/>
      </c>
      <c r="AY145" s="184" t="str">
        <f t="shared" si="199"/>
        <v/>
      </c>
      <c r="AZ145" s="184" t="str">
        <f t="shared" si="200"/>
        <v/>
      </c>
      <c r="BA145" s="184" t="str">
        <f t="shared" si="201"/>
        <v/>
      </c>
      <c r="BB145" s="184" t="str">
        <f t="shared" si="202"/>
        <v/>
      </c>
      <c r="BC145" s="184" t="str">
        <f t="shared" si="203"/>
        <v/>
      </c>
      <c r="BD145" s="184" t="str">
        <f t="shared" si="204"/>
        <v/>
      </c>
      <c r="BE145" s="184" t="str">
        <f t="shared" si="205"/>
        <v/>
      </c>
      <c r="BF145" s="184" t="str">
        <f t="shared" si="206"/>
        <v/>
      </c>
      <c r="BG145" s="184" t="str">
        <f t="shared" si="207"/>
        <v/>
      </c>
      <c r="BH145" s="184" t="str">
        <f t="shared" si="208"/>
        <v/>
      </c>
      <c r="BI145" s="184" t="str">
        <f t="shared" si="209"/>
        <v/>
      </c>
      <c r="BJ145" s="184" t="str">
        <f t="shared" si="210"/>
        <v/>
      </c>
      <c r="BK145" s="184" t="str">
        <f t="shared" si="211"/>
        <v/>
      </c>
      <c r="BL145" s="184" t="str">
        <f t="shared" si="212"/>
        <v/>
      </c>
      <c r="BM145" s="184" t="str">
        <f t="shared" si="213"/>
        <v/>
      </c>
      <c r="BN145" s="184" t="str">
        <f t="shared" si="214"/>
        <v/>
      </c>
      <c r="BO145" s="184" t="str">
        <f t="shared" si="215"/>
        <v/>
      </c>
      <c r="BP145" s="184" t="str">
        <f t="shared" si="216"/>
        <v/>
      </c>
      <c r="BQ145" s="184" t="str">
        <f t="shared" si="217"/>
        <v/>
      </c>
      <c r="BR145" s="184" t="str">
        <f t="shared" si="268"/>
        <v/>
      </c>
      <c r="BS145" s="184" t="str">
        <f t="shared" si="268"/>
        <v/>
      </c>
      <c r="BT145" s="184" t="str">
        <f t="shared" si="268"/>
        <v/>
      </c>
      <c r="BU145" s="184" t="str">
        <f t="shared" si="219"/>
        <v/>
      </c>
      <c r="BV145" s="184" t="str">
        <f t="shared" si="220"/>
        <v/>
      </c>
      <c r="BW145" s="184" t="str">
        <f t="shared" si="221"/>
        <v/>
      </c>
      <c r="BX145" s="184" t="str">
        <f t="shared" si="222"/>
        <v/>
      </c>
      <c r="BY145" s="184" t="str">
        <f t="shared" si="223"/>
        <v/>
      </c>
      <c r="BZ145" s="184" t="str">
        <f t="shared" si="224"/>
        <v/>
      </c>
      <c r="CA145" s="184" t="str">
        <f t="shared" si="225"/>
        <v/>
      </c>
      <c r="CB145" s="184" t="str">
        <f t="shared" si="226"/>
        <v/>
      </c>
      <c r="CC145" s="184" t="str">
        <f t="shared" si="227"/>
        <v/>
      </c>
      <c r="CD145" s="184" t="str">
        <f t="shared" si="228"/>
        <v/>
      </c>
      <c r="CE145" s="184" t="str">
        <f t="shared" si="229"/>
        <v/>
      </c>
      <c r="CF145" s="184" t="str">
        <f t="shared" si="230"/>
        <v/>
      </c>
      <c r="CG145" s="184" t="str">
        <f t="shared" si="231"/>
        <v/>
      </c>
      <c r="CH145" s="184" t="str">
        <f t="shared" si="232"/>
        <v/>
      </c>
      <c r="CI145" s="184" t="str">
        <f t="shared" si="233"/>
        <v/>
      </c>
      <c r="CJ145" s="184" t="str">
        <f t="shared" si="234"/>
        <v/>
      </c>
      <c r="CK145" s="184"/>
      <c r="CM145" s="184"/>
      <c r="CN145"/>
      <c r="CP145"/>
      <c r="CR145"/>
      <c r="CT145"/>
      <c r="CV145"/>
      <c r="CX145"/>
      <c r="CZ145"/>
      <c r="DB145"/>
      <c r="DD145"/>
      <c r="DF145"/>
      <c r="ED145" s="184"/>
      <c r="EF145" s="184"/>
      <c r="EH145" s="184"/>
      <c r="EJ145" s="184"/>
      <c r="EL145" s="184"/>
      <c r="EN145" s="184"/>
      <c r="EP145" s="184"/>
      <c r="ER145" s="184"/>
      <c r="ET145" s="184"/>
      <c r="EV145" s="184"/>
      <c r="EX145" s="184"/>
      <c r="EZ145" s="184"/>
      <c r="FB145" s="184"/>
    </row>
    <row r="146" spans="1:158">
      <c r="A146" s="184">
        <f t="shared" si="193"/>
        <v>3</v>
      </c>
      <c r="B146" s="18">
        <f t="shared" si="235"/>
        <v>4420</v>
      </c>
      <c r="C146" s="18">
        <f t="shared" si="236"/>
        <v>5400</v>
      </c>
      <c r="D146" s="18">
        <f t="shared" si="237"/>
        <v>7100</v>
      </c>
      <c r="E146" s="18">
        <f t="shared" si="238"/>
        <v>8780</v>
      </c>
      <c r="F146" s="18">
        <f t="shared" si="239"/>
        <v>4520</v>
      </c>
      <c r="G146" s="18">
        <f t="shared" si="240"/>
        <v>5540</v>
      </c>
      <c r="H146" s="18">
        <f t="shared" si="241"/>
        <v>7080</v>
      </c>
      <c r="I146" s="18">
        <f t="shared" si="242"/>
        <v>4440</v>
      </c>
      <c r="J146" s="18">
        <f t="shared" si="243"/>
        <v>5800</v>
      </c>
      <c r="K146" s="18">
        <f t="shared" si="244"/>
        <v>7220</v>
      </c>
      <c r="L146" s="18">
        <f t="shared" si="245"/>
        <v>8240</v>
      </c>
      <c r="M146" s="18">
        <f t="shared" si="246"/>
        <v>11320</v>
      </c>
      <c r="N146" s="18">
        <f t="shared" si="254"/>
        <v>7290.8888888888896</v>
      </c>
      <c r="O146" s="18">
        <f t="shared" si="255"/>
        <v>9452.8888888888905</v>
      </c>
      <c r="P146" s="18">
        <f t="shared" si="256"/>
        <v>13340.888888888891</v>
      </c>
      <c r="Q146" s="18">
        <f t="shared" si="257"/>
        <v>12620.888888888891</v>
      </c>
      <c r="R146" s="18">
        <f t="shared" si="258"/>
        <v>18980.888888888891</v>
      </c>
      <c r="S146" s="18">
        <f t="shared" si="269"/>
        <v>10100</v>
      </c>
      <c r="T146" s="18">
        <f t="shared" si="270"/>
        <v>12570</v>
      </c>
      <c r="U146" s="18">
        <f t="shared" si="271"/>
        <v>14608.880000000006</v>
      </c>
      <c r="V146" s="18">
        <f t="shared" si="272"/>
        <v>17380.800000000003</v>
      </c>
      <c r="W146" s="18">
        <f t="shared" si="273"/>
        <v>21822.559999999998</v>
      </c>
      <c r="X146" s="18">
        <f t="shared" si="170"/>
        <v>29317.500000000004</v>
      </c>
      <c r="Y146" s="18">
        <f t="shared" si="252"/>
        <v>30303.999999999985</v>
      </c>
      <c r="Z146" s="18">
        <f t="shared" si="171"/>
        <v>24360</v>
      </c>
      <c r="AA146" s="18">
        <f t="shared" si="172"/>
        <v>31320</v>
      </c>
      <c r="AB146" s="18">
        <f t="shared" si="173"/>
        <v>38060</v>
      </c>
      <c r="AC146" s="18">
        <f t="shared" si="259"/>
        <v>8360.8888888888905</v>
      </c>
      <c r="AD146" s="18">
        <f t="shared" si="260"/>
        <v>10560.888888888891</v>
      </c>
      <c r="AE146" s="18">
        <f t="shared" si="261"/>
        <v>13260.888888888891</v>
      </c>
      <c r="AF146" s="18">
        <f t="shared" si="262"/>
        <v>17660.888888888891</v>
      </c>
      <c r="AG146" s="18">
        <f t="shared" si="263"/>
        <v>19960.888888888891</v>
      </c>
      <c r="AH146" s="18">
        <f t="shared" si="264"/>
        <v>10660.888888888891</v>
      </c>
      <c r="AI146" s="18">
        <f t="shared" si="265"/>
        <v>12660.888888888891</v>
      </c>
      <c r="AJ146" s="18">
        <f t="shared" si="266"/>
        <v>17660.888888888891</v>
      </c>
      <c r="AK146" s="18">
        <f t="shared" si="267"/>
        <v>20660.888888888891</v>
      </c>
      <c r="AL146" s="18">
        <f t="shared" si="175"/>
        <v>21120</v>
      </c>
      <c r="AM146" s="18">
        <f t="shared" si="176"/>
        <v>24000</v>
      </c>
      <c r="AN146" s="18">
        <f t="shared" si="177"/>
        <v>27456</v>
      </c>
      <c r="AO146" s="18">
        <f t="shared" si="178"/>
        <v>43200</v>
      </c>
      <c r="AP146" s="18">
        <f t="shared" si="179"/>
        <v>46080</v>
      </c>
      <c r="AQ146" s="18">
        <f t="shared" si="180"/>
        <v>51840</v>
      </c>
      <c r="AR146" s="18">
        <f t="shared" si="181"/>
        <v>141312</v>
      </c>
      <c r="AS146" s="18">
        <f t="shared" si="192"/>
        <v>45000</v>
      </c>
      <c r="AT146" s="184" t="str">
        <f t="shared" si="194"/>
        <v/>
      </c>
      <c r="AU146" s="184" t="str">
        <f t="shared" si="195"/>
        <v/>
      </c>
      <c r="AV146" s="184" t="str">
        <f t="shared" si="196"/>
        <v/>
      </c>
      <c r="AW146" s="184" t="str">
        <f t="shared" si="197"/>
        <v/>
      </c>
      <c r="AX146" s="184" t="str">
        <f t="shared" si="198"/>
        <v/>
      </c>
      <c r="AY146" s="184" t="str">
        <f t="shared" si="199"/>
        <v/>
      </c>
      <c r="AZ146" s="184" t="str">
        <f t="shared" si="200"/>
        <v/>
      </c>
      <c r="BA146" s="184" t="str">
        <f t="shared" si="201"/>
        <v/>
      </c>
      <c r="BB146" s="184" t="str">
        <f t="shared" si="202"/>
        <v/>
      </c>
      <c r="BC146" s="184" t="str">
        <f t="shared" si="203"/>
        <v/>
      </c>
      <c r="BD146" s="184" t="str">
        <f t="shared" si="204"/>
        <v/>
      </c>
      <c r="BE146" s="184" t="str">
        <f t="shared" si="205"/>
        <v/>
      </c>
      <c r="BF146" s="184" t="str">
        <f t="shared" si="206"/>
        <v/>
      </c>
      <c r="BG146" s="184" t="str">
        <f t="shared" si="207"/>
        <v/>
      </c>
      <c r="BH146" s="184" t="str">
        <f t="shared" si="208"/>
        <v/>
      </c>
      <c r="BI146" s="184" t="str">
        <f t="shared" si="209"/>
        <v/>
      </c>
      <c r="BJ146" s="184" t="str">
        <f t="shared" si="210"/>
        <v/>
      </c>
      <c r="BK146" s="184" t="str">
        <f t="shared" si="211"/>
        <v/>
      </c>
      <c r="BL146" s="184" t="str">
        <f t="shared" si="212"/>
        <v/>
      </c>
      <c r="BM146" s="184" t="str">
        <f t="shared" si="213"/>
        <v/>
      </c>
      <c r="BN146" s="184" t="str">
        <f t="shared" si="214"/>
        <v/>
      </c>
      <c r="BO146" s="184" t="str">
        <f t="shared" si="215"/>
        <v/>
      </c>
      <c r="BP146" s="184" t="str">
        <f t="shared" si="216"/>
        <v/>
      </c>
      <c r="BQ146" s="184" t="str">
        <f t="shared" si="217"/>
        <v/>
      </c>
      <c r="BR146" s="184" t="str">
        <f t="shared" si="268"/>
        <v/>
      </c>
      <c r="BS146" s="184" t="str">
        <f t="shared" si="268"/>
        <v/>
      </c>
      <c r="BT146" s="184" t="str">
        <f t="shared" si="268"/>
        <v/>
      </c>
      <c r="BU146" s="184" t="str">
        <f t="shared" si="219"/>
        <v/>
      </c>
      <c r="BV146" s="184" t="str">
        <f t="shared" si="220"/>
        <v/>
      </c>
      <c r="BW146" s="184" t="str">
        <f t="shared" si="221"/>
        <v/>
      </c>
      <c r="BX146" s="184" t="str">
        <f t="shared" si="222"/>
        <v/>
      </c>
      <c r="BY146" s="184" t="str">
        <f t="shared" si="223"/>
        <v/>
      </c>
      <c r="BZ146" s="184" t="str">
        <f t="shared" si="224"/>
        <v/>
      </c>
      <c r="CA146" s="184" t="str">
        <f t="shared" si="225"/>
        <v/>
      </c>
      <c r="CB146" s="184" t="str">
        <f t="shared" si="226"/>
        <v/>
      </c>
      <c r="CC146" s="184" t="str">
        <f t="shared" si="227"/>
        <v/>
      </c>
      <c r="CD146" s="184" t="str">
        <f t="shared" si="228"/>
        <v/>
      </c>
      <c r="CE146" s="184" t="str">
        <f t="shared" si="229"/>
        <v/>
      </c>
      <c r="CF146" s="184" t="str">
        <f t="shared" si="230"/>
        <v/>
      </c>
      <c r="CG146" s="184" t="str">
        <f t="shared" si="231"/>
        <v/>
      </c>
      <c r="CH146" s="184" t="str">
        <f t="shared" si="232"/>
        <v/>
      </c>
      <c r="CI146" s="184" t="str">
        <f t="shared" si="233"/>
        <v/>
      </c>
      <c r="CJ146" s="184" t="str">
        <f t="shared" si="234"/>
        <v/>
      </c>
      <c r="CK146" s="184"/>
      <c r="CM146" s="184"/>
      <c r="CN146"/>
      <c r="CP146"/>
      <c r="CR146"/>
      <c r="CT146"/>
      <c r="CV146"/>
      <c r="CX146"/>
      <c r="CZ146"/>
      <c r="DB146"/>
      <c r="DD146"/>
      <c r="DF146"/>
      <c r="ED146" s="184"/>
      <c r="EF146" s="184"/>
      <c r="EH146" s="184"/>
      <c r="EJ146" s="184"/>
      <c r="EL146" s="184"/>
      <c r="EN146" s="184"/>
      <c r="EP146" s="184"/>
      <c r="ER146" s="184"/>
      <c r="ET146" s="184"/>
      <c r="EV146" s="184"/>
      <c r="EX146" s="184"/>
      <c r="EZ146" s="184"/>
      <c r="FB146" s="184"/>
    </row>
    <row r="147" spans="1:158">
      <c r="A147" s="184">
        <f t="shared" si="193"/>
        <v>3.5</v>
      </c>
      <c r="B147" s="18">
        <f t="shared" si="235"/>
        <v>4515</v>
      </c>
      <c r="C147" s="18">
        <f t="shared" si="236"/>
        <v>5550</v>
      </c>
      <c r="D147" s="18">
        <f t="shared" si="237"/>
        <v>7300</v>
      </c>
      <c r="E147" s="18">
        <f t="shared" si="238"/>
        <v>8960</v>
      </c>
      <c r="F147" s="18">
        <f t="shared" si="239"/>
        <v>4590</v>
      </c>
      <c r="G147" s="18">
        <f t="shared" si="240"/>
        <v>5655</v>
      </c>
      <c r="H147" s="18">
        <f t="shared" si="241"/>
        <v>7285</v>
      </c>
      <c r="I147" s="18">
        <f t="shared" si="242"/>
        <v>4530</v>
      </c>
      <c r="J147" s="18">
        <f t="shared" si="243"/>
        <v>5925</v>
      </c>
      <c r="K147" s="18">
        <f t="shared" si="244"/>
        <v>7390</v>
      </c>
      <c r="L147" s="18">
        <f t="shared" si="245"/>
        <v>8455</v>
      </c>
      <c r="M147" s="18">
        <f t="shared" si="246"/>
        <v>11515</v>
      </c>
      <c r="N147" s="18">
        <f t="shared" si="254"/>
        <v>7375.666666666667</v>
      </c>
      <c r="O147" s="18">
        <f t="shared" si="255"/>
        <v>9537.6666666666679</v>
      </c>
      <c r="P147" s="18">
        <f t="shared" si="256"/>
        <v>13425.666666666668</v>
      </c>
      <c r="Q147" s="18">
        <f t="shared" si="257"/>
        <v>12705.666666666668</v>
      </c>
      <c r="R147" s="18">
        <f t="shared" si="258"/>
        <v>19065.666666666668</v>
      </c>
      <c r="S147" s="18">
        <f t="shared" si="269"/>
        <v>10325</v>
      </c>
      <c r="T147" s="18">
        <f t="shared" si="270"/>
        <v>12802.5</v>
      </c>
      <c r="U147" s="18">
        <f t="shared" si="271"/>
        <v>14889.160000000005</v>
      </c>
      <c r="V147" s="18">
        <f t="shared" si="272"/>
        <v>17715.600000000002</v>
      </c>
      <c r="W147" s="18">
        <f t="shared" si="273"/>
        <v>22242.92</v>
      </c>
      <c r="X147" s="18">
        <f t="shared" si="170"/>
        <v>29548.125000000004</v>
      </c>
      <c r="Y147" s="18">
        <f t="shared" si="252"/>
        <v>30832.999999999989</v>
      </c>
      <c r="Z147" s="18">
        <f t="shared" si="171"/>
        <v>24570</v>
      </c>
      <c r="AA147" s="18">
        <f t="shared" si="172"/>
        <v>31590</v>
      </c>
      <c r="AB147" s="18">
        <f t="shared" si="173"/>
        <v>38445</v>
      </c>
      <c r="AC147" s="18">
        <f t="shared" si="259"/>
        <v>8445.6666666666679</v>
      </c>
      <c r="AD147" s="18">
        <f t="shared" si="260"/>
        <v>10645.666666666668</v>
      </c>
      <c r="AE147" s="18">
        <f t="shared" si="261"/>
        <v>13345.666666666668</v>
      </c>
      <c r="AF147" s="18">
        <f t="shared" si="262"/>
        <v>17745.666666666668</v>
      </c>
      <c r="AG147" s="18">
        <f t="shared" si="263"/>
        <v>20045.666666666668</v>
      </c>
      <c r="AH147" s="18">
        <f t="shared" si="264"/>
        <v>10745.666666666668</v>
      </c>
      <c r="AI147" s="18">
        <f t="shared" si="265"/>
        <v>12745.666666666668</v>
      </c>
      <c r="AJ147" s="18">
        <f t="shared" si="266"/>
        <v>17745.666666666668</v>
      </c>
      <c r="AK147" s="18">
        <f t="shared" si="267"/>
        <v>20745.666666666668</v>
      </c>
      <c r="AL147" s="18">
        <f t="shared" si="175"/>
        <v>21340</v>
      </c>
      <c r="AM147" s="18">
        <f t="shared" si="176"/>
        <v>24250</v>
      </c>
      <c r="AN147" s="18">
        <f t="shared" si="177"/>
        <v>27742</v>
      </c>
      <c r="AO147" s="18">
        <f t="shared" si="178"/>
        <v>43650</v>
      </c>
      <c r="AP147" s="18">
        <f t="shared" si="179"/>
        <v>46560</v>
      </c>
      <c r="AQ147" s="18">
        <f t="shared" si="180"/>
        <v>52380</v>
      </c>
      <c r="AR147" s="18">
        <f t="shared" si="181"/>
        <v>142784</v>
      </c>
      <c r="AS147" s="18">
        <f t="shared" si="192"/>
        <v>45000</v>
      </c>
      <c r="AT147" s="184" t="str">
        <f t="shared" si="194"/>
        <v/>
      </c>
      <c r="AU147" s="184" t="str">
        <f t="shared" si="195"/>
        <v/>
      </c>
      <c r="AV147" s="184" t="str">
        <f t="shared" si="196"/>
        <v/>
      </c>
      <c r="AW147" s="184" t="str">
        <f t="shared" si="197"/>
        <v/>
      </c>
      <c r="AX147" s="184" t="str">
        <f t="shared" si="198"/>
        <v/>
      </c>
      <c r="AY147" s="184" t="str">
        <f t="shared" si="199"/>
        <v/>
      </c>
      <c r="AZ147" s="184" t="str">
        <f t="shared" si="200"/>
        <v/>
      </c>
      <c r="BA147" s="184" t="str">
        <f t="shared" si="201"/>
        <v/>
      </c>
      <c r="BB147" s="184" t="str">
        <f t="shared" si="202"/>
        <v/>
      </c>
      <c r="BC147" s="184" t="str">
        <f t="shared" si="203"/>
        <v/>
      </c>
      <c r="BD147" s="184" t="str">
        <f t="shared" si="204"/>
        <v/>
      </c>
      <c r="BE147" s="184" t="str">
        <f t="shared" si="205"/>
        <v/>
      </c>
      <c r="BF147" s="184" t="str">
        <f t="shared" si="206"/>
        <v/>
      </c>
      <c r="BG147" s="184" t="str">
        <f t="shared" si="207"/>
        <v/>
      </c>
      <c r="BH147" s="184" t="str">
        <f t="shared" si="208"/>
        <v/>
      </c>
      <c r="BI147" s="184" t="str">
        <f t="shared" si="209"/>
        <v/>
      </c>
      <c r="BJ147" s="184" t="str">
        <f t="shared" si="210"/>
        <v/>
      </c>
      <c r="BK147" s="184" t="str">
        <f t="shared" si="211"/>
        <v/>
      </c>
      <c r="BL147" s="184" t="str">
        <f t="shared" si="212"/>
        <v/>
      </c>
      <c r="BM147" s="184" t="str">
        <f t="shared" si="213"/>
        <v/>
      </c>
      <c r="BN147" s="184" t="str">
        <f t="shared" si="214"/>
        <v/>
      </c>
      <c r="BO147" s="184" t="str">
        <f t="shared" si="215"/>
        <v/>
      </c>
      <c r="BP147" s="184" t="str">
        <f t="shared" si="216"/>
        <v/>
      </c>
      <c r="BQ147" s="184" t="str">
        <f t="shared" si="217"/>
        <v/>
      </c>
      <c r="BR147" s="184" t="str">
        <f t="shared" si="268"/>
        <v/>
      </c>
      <c r="BS147" s="184" t="str">
        <f t="shared" si="268"/>
        <v/>
      </c>
      <c r="BT147" s="184" t="str">
        <f t="shared" si="268"/>
        <v/>
      </c>
      <c r="BU147" s="184" t="str">
        <f t="shared" si="219"/>
        <v/>
      </c>
      <c r="BV147" s="184" t="str">
        <f t="shared" si="220"/>
        <v/>
      </c>
      <c r="BW147" s="184" t="str">
        <f t="shared" si="221"/>
        <v/>
      </c>
      <c r="BX147" s="184" t="str">
        <f t="shared" si="222"/>
        <v/>
      </c>
      <c r="BY147" s="184" t="str">
        <f t="shared" si="223"/>
        <v/>
      </c>
      <c r="BZ147" s="184" t="str">
        <f t="shared" si="224"/>
        <v/>
      </c>
      <c r="CA147" s="184" t="str">
        <f t="shared" si="225"/>
        <v/>
      </c>
      <c r="CB147" s="184" t="str">
        <f t="shared" si="226"/>
        <v/>
      </c>
      <c r="CC147" s="184" t="str">
        <f t="shared" si="227"/>
        <v/>
      </c>
      <c r="CD147" s="184" t="str">
        <f t="shared" si="228"/>
        <v/>
      </c>
      <c r="CE147" s="184" t="str">
        <f t="shared" si="229"/>
        <v/>
      </c>
      <c r="CF147" s="184" t="str">
        <f t="shared" si="230"/>
        <v/>
      </c>
      <c r="CG147" s="184" t="str">
        <f t="shared" si="231"/>
        <v/>
      </c>
      <c r="CH147" s="184" t="str">
        <f t="shared" si="232"/>
        <v/>
      </c>
      <c r="CI147" s="184" t="str">
        <f t="shared" si="233"/>
        <v/>
      </c>
      <c r="CJ147" s="184" t="str">
        <f t="shared" si="234"/>
        <v/>
      </c>
      <c r="CK147" s="184"/>
      <c r="CM147" s="184"/>
      <c r="CN147"/>
      <c r="CP147"/>
      <c r="CR147"/>
      <c r="CT147"/>
      <c r="CV147"/>
      <c r="CX147"/>
      <c r="CZ147"/>
      <c r="DB147"/>
      <c r="DD147"/>
      <c r="DF147"/>
      <c r="ED147" s="184"/>
      <c r="EF147" s="184"/>
      <c r="EH147" s="184"/>
      <c r="EJ147" s="184"/>
      <c r="EL147" s="184"/>
      <c r="EN147" s="184"/>
      <c r="EP147" s="184"/>
      <c r="ER147" s="184"/>
      <c r="ET147" s="184"/>
      <c r="EV147" s="184"/>
      <c r="EX147" s="184"/>
      <c r="EZ147" s="184"/>
      <c r="FB147" s="184"/>
    </row>
    <row r="148" spans="1:158">
      <c r="A148" s="184">
        <f t="shared" si="193"/>
        <v>4</v>
      </c>
      <c r="B148" s="18">
        <f t="shared" si="235"/>
        <v>4610</v>
      </c>
      <c r="C148" s="18">
        <f t="shared" si="236"/>
        <v>5700</v>
      </c>
      <c r="D148" s="18">
        <f t="shared" si="237"/>
        <v>7500</v>
      </c>
      <c r="E148" s="18">
        <f t="shared" si="238"/>
        <v>9140</v>
      </c>
      <c r="F148" s="18">
        <f t="shared" si="239"/>
        <v>4660</v>
      </c>
      <c r="G148" s="18">
        <f t="shared" si="240"/>
        <v>5770</v>
      </c>
      <c r="H148" s="18">
        <f t="shared" si="241"/>
        <v>7490</v>
      </c>
      <c r="I148" s="18">
        <f t="shared" si="242"/>
        <v>4620</v>
      </c>
      <c r="J148" s="18">
        <f t="shared" si="243"/>
        <v>6050</v>
      </c>
      <c r="K148" s="18">
        <f t="shared" si="244"/>
        <v>7560</v>
      </c>
      <c r="L148" s="18">
        <f t="shared" si="245"/>
        <v>8670</v>
      </c>
      <c r="M148" s="18">
        <f t="shared" si="246"/>
        <v>11710</v>
      </c>
      <c r="N148" s="18">
        <f t="shared" si="254"/>
        <v>7460.4444444444443</v>
      </c>
      <c r="O148" s="18">
        <f t="shared" si="255"/>
        <v>9622.4444444444453</v>
      </c>
      <c r="P148" s="18">
        <f t="shared" si="256"/>
        <v>13510.444444444445</v>
      </c>
      <c r="Q148" s="18">
        <f t="shared" si="257"/>
        <v>12790.444444444445</v>
      </c>
      <c r="R148" s="18">
        <f t="shared" si="258"/>
        <v>19150.444444444445</v>
      </c>
      <c r="S148" s="18">
        <f t="shared" si="269"/>
        <v>10550</v>
      </c>
      <c r="T148" s="18">
        <f t="shared" si="270"/>
        <v>13035</v>
      </c>
      <c r="U148" s="18">
        <f t="shared" si="271"/>
        <v>15169.440000000004</v>
      </c>
      <c r="V148" s="18">
        <f t="shared" si="272"/>
        <v>18050.400000000001</v>
      </c>
      <c r="W148" s="18">
        <f t="shared" si="273"/>
        <v>22663.279999999999</v>
      </c>
      <c r="X148" s="18">
        <f t="shared" si="170"/>
        <v>29778.750000000004</v>
      </c>
      <c r="Y148" s="18">
        <f t="shared" si="252"/>
        <v>31361.999999999993</v>
      </c>
      <c r="Z148" s="18">
        <f t="shared" si="171"/>
        <v>24780</v>
      </c>
      <c r="AA148" s="18">
        <f t="shared" si="172"/>
        <v>31860</v>
      </c>
      <c r="AB148" s="18">
        <f t="shared" si="173"/>
        <v>38830</v>
      </c>
      <c r="AC148" s="18">
        <f t="shared" si="259"/>
        <v>8530.4444444444453</v>
      </c>
      <c r="AD148" s="18">
        <f t="shared" si="260"/>
        <v>10730.444444444445</v>
      </c>
      <c r="AE148" s="18">
        <f t="shared" si="261"/>
        <v>13430.444444444445</v>
      </c>
      <c r="AF148" s="18">
        <f t="shared" si="262"/>
        <v>17830.444444444445</v>
      </c>
      <c r="AG148" s="18">
        <f t="shared" si="263"/>
        <v>20130.444444444445</v>
      </c>
      <c r="AH148" s="18">
        <f t="shared" si="264"/>
        <v>10830.444444444445</v>
      </c>
      <c r="AI148" s="18">
        <f t="shared" si="265"/>
        <v>12830.444444444445</v>
      </c>
      <c r="AJ148" s="18">
        <f t="shared" si="266"/>
        <v>17830.444444444445</v>
      </c>
      <c r="AK148" s="18">
        <f t="shared" si="267"/>
        <v>20830.444444444445</v>
      </c>
      <c r="AL148" s="18">
        <f t="shared" si="175"/>
        <v>21560</v>
      </c>
      <c r="AM148" s="18">
        <f t="shared" si="176"/>
        <v>24500</v>
      </c>
      <c r="AN148" s="18">
        <f t="shared" si="177"/>
        <v>28028</v>
      </c>
      <c r="AO148" s="18">
        <f t="shared" si="178"/>
        <v>44100</v>
      </c>
      <c r="AP148" s="18">
        <f t="shared" si="179"/>
        <v>47040</v>
      </c>
      <c r="AQ148" s="18">
        <f t="shared" si="180"/>
        <v>52920</v>
      </c>
      <c r="AR148" s="18">
        <f t="shared" si="181"/>
        <v>144256</v>
      </c>
      <c r="AS148" s="18">
        <f t="shared" si="192"/>
        <v>45000</v>
      </c>
      <c r="AT148" s="184" t="str">
        <f t="shared" si="194"/>
        <v/>
      </c>
      <c r="AU148" s="184" t="str">
        <f t="shared" si="195"/>
        <v/>
      </c>
      <c r="AV148" s="184" t="str">
        <f t="shared" si="196"/>
        <v/>
      </c>
      <c r="AW148" s="184" t="str">
        <f t="shared" si="197"/>
        <v/>
      </c>
      <c r="AX148" s="184" t="str">
        <f t="shared" si="198"/>
        <v/>
      </c>
      <c r="AY148" s="184" t="str">
        <f t="shared" si="199"/>
        <v/>
      </c>
      <c r="AZ148" s="184" t="str">
        <f t="shared" si="200"/>
        <v/>
      </c>
      <c r="BA148" s="184" t="str">
        <f t="shared" si="201"/>
        <v/>
      </c>
      <c r="BB148" s="184" t="str">
        <f t="shared" si="202"/>
        <v/>
      </c>
      <c r="BC148" s="184" t="str">
        <f t="shared" si="203"/>
        <v/>
      </c>
      <c r="BD148" s="184" t="str">
        <f t="shared" si="204"/>
        <v/>
      </c>
      <c r="BE148" s="184" t="str">
        <f t="shared" si="205"/>
        <v/>
      </c>
      <c r="BF148" s="184" t="str">
        <f t="shared" si="206"/>
        <v/>
      </c>
      <c r="BG148" s="184" t="str">
        <f t="shared" si="207"/>
        <v/>
      </c>
      <c r="BH148" s="184" t="str">
        <f t="shared" si="208"/>
        <v/>
      </c>
      <c r="BI148" s="184" t="str">
        <f t="shared" si="209"/>
        <v/>
      </c>
      <c r="BJ148" s="184" t="str">
        <f t="shared" si="210"/>
        <v/>
      </c>
      <c r="BK148" s="184" t="str">
        <f t="shared" si="211"/>
        <v/>
      </c>
      <c r="BL148" s="184" t="str">
        <f t="shared" si="212"/>
        <v/>
      </c>
      <c r="BM148" s="184" t="str">
        <f t="shared" si="213"/>
        <v/>
      </c>
      <c r="BN148" s="184" t="str">
        <f t="shared" si="214"/>
        <v/>
      </c>
      <c r="BO148" s="184" t="str">
        <f t="shared" si="215"/>
        <v/>
      </c>
      <c r="BP148" s="184" t="str">
        <f t="shared" si="216"/>
        <v/>
      </c>
      <c r="BQ148" s="184" t="str">
        <f t="shared" si="217"/>
        <v/>
      </c>
      <c r="BR148" s="184" t="str">
        <f t="shared" si="268"/>
        <v/>
      </c>
      <c r="BS148" s="184" t="str">
        <f t="shared" si="268"/>
        <v/>
      </c>
      <c r="BT148" s="184" t="str">
        <f t="shared" si="268"/>
        <v/>
      </c>
      <c r="BU148" s="184" t="str">
        <f t="shared" si="219"/>
        <v/>
      </c>
      <c r="BV148" s="184" t="str">
        <f t="shared" si="220"/>
        <v/>
      </c>
      <c r="BW148" s="184" t="str">
        <f t="shared" si="221"/>
        <v/>
      </c>
      <c r="BX148" s="184" t="str">
        <f t="shared" si="222"/>
        <v/>
      </c>
      <c r="BY148" s="184" t="str">
        <f t="shared" si="223"/>
        <v/>
      </c>
      <c r="BZ148" s="184" t="str">
        <f t="shared" si="224"/>
        <v/>
      </c>
      <c r="CA148" s="184" t="str">
        <f t="shared" si="225"/>
        <v/>
      </c>
      <c r="CB148" s="184" t="str">
        <f t="shared" si="226"/>
        <v/>
      </c>
      <c r="CC148" s="184" t="str">
        <f t="shared" si="227"/>
        <v/>
      </c>
      <c r="CD148" s="184" t="str">
        <f t="shared" si="228"/>
        <v/>
      </c>
      <c r="CE148" s="184" t="str">
        <f t="shared" si="229"/>
        <v/>
      </c>
      <c r="CF148" s="184" t="str">
        <f t="shared" si="230"/>
        <v/>
      </c>
      <c r="CG148" s="184" t="str">
        <f t="shared" si="231"/>
        <v/>
      </c>
      <c r="CH148" s="184" t="str">
        <f t="shared" si="232"/>
        <v/>
      </c>
      <c r="CI148" s="184" t="str">
        <f t="shared" si="233"/>
        <v/>
      </c>
      <c r="CJ148" s="184" t="str">
        <f t="shared" si="234"/>
        <v/>
      </c>
      <c r="CK148" s="184"/>
      <c r="CM148" s="184"/>
      <c r="CN148"/>
      <c r="CP148"/>
      <c r="CR148"/>
      <c r="CT148"/>
      <c r="CV148"/>
      <c r="CX148"/>
      <c r="CZ148"/>
      <c r="DB148"/>
      <c r="DD148"/>
      <c r="DF148"/>
      <c r="ED148" s="184"/>
      <c r="EF148" s="184"/>
      <c r="EH148" s="184"/>
      <c r="EJ148" s="184"/>
      <c r="EL148" s="184"/>
      <c r="EN148" s="184"/>
      <c r="EP148" s="184"/>
      <c r="ER148" s="184"/>
      <c r="ET148" s="184"/>
      <c r="EV148" s="184"/>
      <c r="EX148" s="184"/>
      <c r="EZ148" s="184"/>
      <c r="FB148" s="184"/>
    </row>
    <row r="149" spans="1:158">
      <c r="A149" s="184">
        <f t="shared" si="193"/>
        <v>4.5</v>
      </c>
      <c r="B149" s="18">
        <f>B150-(B$151-B$150)*1.2</f>
        <v>4705</v>
      </c>
      <c r="C149" s="18">
        <f t="shared" ref="C149:Y149" si="274">C150-(C$151-C$150)*1.2</f>
        <v>5850</v>
      </c>
      <c r="D149" s="18">
        <f t="shared" si="274"/>
        <v>7700</v>
      </c>
      <c r="E149" s="18">
        <f t="shared" si="274"/>
        <v>9320</v>
      </c>
      <c r="F149" s="18">
        <f t="shared" si="274"/>
        <v>4730</v>
      </c>
      <c r="G149" s="18">
        <f t="shared" si="274"/>
        <v>5885</v>
      </c>
      <c r="H149" s="18">
        <f t="shared" si="274"/>
        <v>7695</v>
      </c>
      <c r="I149" s="18">
        <f t="shared" si="274"/>
        <v>4710</v>
      </c>
      <c r="J149" s="18">
        <f t="shared" si="274"/>
        <v>6175</v>
      </c>
      <c r="K149" s="18">
        <f t="shared" si="274"/>
        <v>7730</v>
      </c>
      <c r="L149" s="18">
        <f t="shared" si="274"/>
        <v>8885</v>
      </c>
      <c r="M149" s="18">
        <f t="shared" si="274"/>
        <v>11905</v>
      </c>
      <c r="N149" s="18">
        <f>N150-($N$150-$N$132)/18</f>
        <v>7545.2222222222217</v>
      </c>
      <c r="O149" s="18">
        <f t="shared" si="255"/>
        <v>9707.2222222222226</v>
      </c>
      <c r="P149" s="18">
        <f t="shared" si="256"/>
        <v>13595.222222222223</v>
      </c>
      <c r="Q149" s="18">
        <f t="shared" si="257"/>
        <v>12875.222222222223</v>
      </c>
      <c r="R149" s="18">
        <f t="shared" si="258"/>
        <v>19235.222222222223</v>
      </c>
      <c r="S149" s="18">
        <f t="shared" si="274"/>
        <v>10775</v>
      </c>
      <c r="T149" s="18">
        <f t="shared" si="274"/>
        <v>13267.5</v>
      </c>
      <c r="U149" s="18">
        <f t="shared" si="274"/>
        <v>15449.720000000003</v>
      </c>
      <c r="V149" s="18">
        <f t="shared" si="274"/>
        <v>18385.2</v>
      </c>
      <c r="W149" s="18">
        <f t="shared" si="274"/>
        <v>23083.64</v>
      </c>
      <c r="X149" s="18">
        <f>X150-(X$151-X$150)*2.5</f>
        <v>30009.375000000004</v>
      </c>
      <c r="Y149" s="18">
        <f t="shared" si="274"/>
        <v>31890.999999999996</v>
      </c>
      <c r="Z149" s="18">
        <f>Z150-(Z$151-Z$150)</f>
        <v>24990</v>
      </c>
      <c r="AA149" s="18">
        <f t="shared" si="172"/>
        <v>32130</v>
      </c>
      <c r="AB149" s="18">
        <f t="shared" si="173"/>
        <v>39215</v>
      </c>
      <c r="AC149" s="18">
        <f>AC150-($N$150-$N$132)/18</f>
        <v>8615.2222222222226</v>
      </c>
      <c r="AD149" s="18">
        <f t="shared" si="260"/>
        <v>10815.222222222223</v>
      </c>
      <c r="AE149" s="18">
        <f t="shared" si="261"/>
        <v>13515.222222222223</v>
      </c>
      <c r="AF149" s="18">
        <f t="shared" si="262"/>
        <v>17915.222222222223</v>
      </c>
      <c r="AG149" s="18">
        <f t="shared" si="263"/>
        <v>20215.222222222223</v>
      </c>
      <c r="AH149" s="18">
        <f t="shared" si="264"/>
        <v>10915.222222222223</v>
      </c>
      <c r="AI149" s="18">
        <f t="shared" si="265"/>
        <v>12915.222222222223</v>
      </c>
      <c r="AJ149" s="18">
        <f t="shared" si="266"/>
        <v>17915.222222222223</v>
      </c>
      <c r="AK149" s="18">
        <f t="shared" si="267"/>
        <v>20915.222222222223</v>
      </c>
      <c r="AL149" s="18">
        <f t="shared" si="175"/>
        <v>21780</v>
      </c>
      <c r="AM149" s="18">
        <f t="shared" si="176"/>
        <v>24750</v>
      </c>
      <c r="AN149" s="18">
        <f t="shared" si="177"/>
        <v>28314</v>
      </c>
      <c r="AO149" s="18">
        <f t="shared" si="178"/>
        <v>44550</v>
      </c>
      <c r="AP149" s="18">
        <f t="shared" si="179"/>
        <v>47520</v>
      </c>
      <c r="AQ149" s="18">
        <f t="shared" si="180"/>
        <v>53460</v>
      </c>
      <c r="AR149" s="18">
        <f t="shared" si="181"/>
        <v>145728</v>
      </c>
      <c r="AS149" s="18">
        <f t="shared" ref="AS149:AS180" si="275">IF(($D$49-A149)&lt;5,0,IF(($D$49-A149)&gt;=($D$49-$C$49),1,MAX(0,MIN(1,(($D$49-8)-A149)/($D$49-($C$49-5))))))*heat_load</f>
        <v>36195.652173913048</v>
      </c>
      <c r="AT149" s="184" t="str">
        <f t="shared" si="194"/>
        <v/>
      </c>
      <c r="AU149" s="184" t="str">
        <f t="shared" si="195"/>
        <v/>
      </c>
      <c r="AV149" s="184" t="str">
        <f t="shared" si="196"/>
        <v/>
      </c>
      <c r="AW149" s="184" t="str">
        <f t="shared" si="197"/>
        <v/>
      </c>
      <c r="AX149" s="184" t="str">
        <f t="shared" si="198"/>
        <v/>
      </c>
      <c r="AY149" s="184" t="str">
        <f t="shared" si="199"/>
        <v/>
      </c>
      <c r="AZ149" s="184" t="str">
        <f t="shared" si="200"/>
        <v/>
      </c>
      <c r="BA149" s="184" t="str">
        <f t="shared" si="201"/>
        <v/>
      </c>
      <c r="BB149" s="184" t="str">
        <f t="shared" si="202"/>
        <v/>
      </c>
      <c r="BC149" s="184" t="str">
        <f t="shared" si="203"/>
        <v/>
      </c>
      <c r="BD149" s="184" t="str">
        <f t="shared" si="204"/>
        <v/>
      </c>
      <c r="BE149" s="184" t="str">
        <f t="shared" si="205"/>
        <v/>
      </c>
      <c r="BF149" s="184" t="str">
        <f t="shared" si="206"/>
        <v/>
      </c>
      <c r="BG149" s="184" t="str">
        <f t="shared" si="207"/>
        <v/>
      </c>
      <c r="BH149" s="184" t="str">
        <f t="shared" si="208"/>
        <v/>
      </c>
      <c r="BI149" s="184" t="str">
        <f t="shared" si="209"/>
        <v/>
      </c>
      <c r="BJ149" s="184" t="str">
        <f t="shared" si="210"/>
        <v/>
      </c>
      <c r="BK149" s="184" t="str">
        <f t="shared" si="211"/>
        <v/>
      </c>
      <c r="BL149" s="184" t="str">
        <f t="shared" si="212"/>
        <v/>
      </c>
      <c r="BM149" s="184" t="str">
        <f t="shared" si="213"/>
        <v/>
      </c>
      <c r="BN149" s="184" t="str">
        <f t="shared" si="214"/>
        <v/>
      </c>
      <c r="BO149" s="184" t="str">
        <f t="shared" si="215"/>
        <v/>
      </c>
      <c r="BP149" s="184" t="str">
        <f t="shared" si="216"/>
        <v/>
      </c>
      <c r="BQ149" s="184" t="str">
        <f t="shared" si="217"/>
        <v/>
      </c>
      <c r="BR149" s="184" t="str">
        <f t="shared" si="268"/>
        <v/>
      </c>
      <c r="BS149" s="184" t="str">
        <f t="shared" si="268"/>
        <v/>
      </c>
      <c r="BT149" s="184">
        <f t="shared" si="268"/>
        <v>1</v>
      </c>
      <c r="BU149" s="184" t="str">
        <f t="shared" si="219"/>
        <v/>
      </c>
      <c r="BV149" s="184" t="str">
        <f t="shared" si="220"/>
        <v/>
      </c>
      <c r="BW149" s="184" t="str">
        <f t="shared" si="221"/>
        <v/>
      </c>
      <c r="BX149" s="184" t="str">
        <f t="shared" si="222"/>
        <v/>
      </c>
      <c r="BY149" s="184" t="str">
        <f t="shared" si="223"/>
        <v/>
      </c>
      <c r="BZ149" s="184" t="str">
        <f t="shared" si="224"/>
        <v/>
      </c>
      <c r="CA149" s="184" t="str">
        <f t="shared" si="225"/>
        <v/>
      </c>
      <c r="CB149" s="184" t="str">
        <f t="shared" si="226"/>
        <v/>
      </c>
      <c r="CC149" s="184" t="str">
        <f t="shared" si="227"/>
        <v/>
      </c>
      <c r="CD149" s="184" t="str">
        <f t="shared" si="228"/>
        <v/>
      </c>
      <c r="CE149" s="184" t="str">
        <f t="shared" si="229"/>
        <v/>
      </c>
      <c r="CF149" s="184" t="str">
        <f t="shared" si="230"/>
        <v/>
      </c>
      <c r="CG149" s="184">
        <f t="shared" si="231"/>
        <v>1</v>
      </c>
      <c r="CH149" s="184" t="str">
        <f t="shared" si="232"/>
        <v/>
      </c>
      <c r="CI149" s="184" t="str">
        <f t="shared" si="233"/>
        <v/>
      </c>
      <c r="CJ149" s="184" t="str">
        <f t="shared" si="234"/>
        <v/>
      </c>
      <c r="CK149" s="184"/>
      <c r="CM149" s="184"/>
      <c r="CN149"/>
      <c r="CP149"/>
      <c r="CR149"/>
      <c r="CT149"/>
      <c r="CV149"/>
      <c r="CX149"/>
      <c r="CZ149"/>
      <c r="DB149"/>
      <c r="DD149"/>
      <c r="DF149"/>
      <c r="ED149" s="184"/>
      <c r="EF149" s="184"/>
      <c r="EH149" s="184"/>
      <c r="EJ149" s="184"/>
      <c r="EL149" s="184"/>
      <c r="EN149" s="184"/>
      <c r="EP149" s="184"/>
      <c r="ER149" s="184"/>
      <c r="ET149" s="184"/>
      <c r="EV149" s="184"/>
      <c r="EX149" s="184"/>
      <c r="EZ149" s="184"/>
      <c r="FB149" s="184"/>
    </row>
    <row r="150" spans="1:158">
      <c r="A150" s="184">
        <f t="shared" ref="A150:A164" si="276">A149+0.5</f>
        <v>5</v>
      </c>
      <c r="B150">
        <f t="shared" ref="B150:Y150" si="277">VLOOKUP(B84,non_table,5,FALSE)</f>
        <v>4800</v>
      </c>
      <c r="C150" s="184">
        <f t="shared" si="277"/>
        <v>6000</v>
      </c>
      <c r="D150" s="184">
        <f t="shared" si="277"/>
        <v>7900</v>
      </c>
      <c r="E150" s="184">
        <f t="shared" si="277"/>
        <v>9500</v>
      </c>
      <c r="F150" s="184">
        <f t="shared" si="277"/>
        <v>4800</v>
      </c>
      <c r="G150" s="184">
        <f t="shared" si="277"/>
        <v>6000</v>
      </c>
      <c r="H150" s="184">
        <f t="shared" si="277"/>
        <v>7900</v>
      </c>
      <c r="I150" s="184">
        <f t="shared" si="277"/>
        <v>4800</v>
      </c>
      <c r="J150" s="184">
        <f t="shared" si="277"/>
        <v>6300</v>
      </c>
      <c r="K150" s="184">
        <f t="shared" si="277"/>
        <v>7900</v>
      </c>
      <c r="L150" s="184">
        <f t="shared" si="277"/>
        <v>9100</v>
      </c>
      <c r="M150" s="184">
        <f t="shared" si="277"/>
        <v>12100</v>
      </c>
      <c r="N150" s="184">
        <f>VLOOKUP(N84,non_table,5,FALSE)</f>
        <v>7629.9999999999991</v>
      </c>
      <c r="O150" s="184">
        <f t="shared" si="277"/>
        <v>9792</v>
      </c>
      <c r="P150" s="184">
        <f t="shared" si="277"/>
        <v>13680</v>
      </c>
      <c r="Q150" s="184">
        <f t="shared" si="277"/>
        <v>12960</v>
      </c>
      <c r="R150" s="184">
        <f t="shared" si="277"/>
        <v>19320</v>
      </c>
      <c r="S150" s="184">
        <f t="shared" si="277"/>
        <v>11000</v>
      </c>
      <c r="T150" s="184">
        <f t="shared" si="277"/>
        <v>13500</v>
      </c>
      <c r="U150" s="184">
        <f t="shared" si="277"/>
        <v>15730.000000000002</v>
      </c>
      <c r="V150" s="184">
        <f t="shared" si="277"/>
        <v>18720</v>
      </c>
      <c r="W150" s="184">
        <f t="shared" si="277"/>
        <v>23504</v>
      </c>
      <c r="X150" s="184">
        <f>VLOOKUP(X84,non_table,5,FALSE)</f>
        <v>30240.000000000004</v>
      </c>
      <c r="Y150" s="184">
        <f t="shared" si="277"/>
        <v>32420</v>
      </c>
      <c r="Z150" s="184">
        <f>VLOOKUP(Z84,non_table,5,FALSE)</f>
        <v>25200</v>
      </c>
      <c r="AA150" s="184">
        <f>VLOOKUP(AA84,non_table,5,FALSE)</f>
        <v>32400</v>
      </c>
      <c r="AB150" s="184">
        <f>VLOOKUP(AB84,non_table,5,FALSE)</f>
        <v>39600</v>
      </c>
      <c r="AC150" s="184">
        <f>VLOOKUP(AC84,non_table,5,FALSE)</f>
        <v>8700</v>
      </c>
      <c r="AD150" s="184">
        <f t="shared" ref="AD150:AR150" si="278">VLOOKUP(AD84,non_table,5,FALSE)</f>
        <v>10900</v>
      </c>
      <c r="AE150" s="184">
        <f t="shared" si="278"/>
        <v>13600</v>
      </c>
      <c r="AF150" s="184">
        <f t="shared" si="278"/>
        <v>18000</v>
      </c>
      <c r="AG150" s="184">
        <f t="shared" si="278"/>
        <v>20300</v>
      </c>
      <c r="AH150" s="184">
        <f t="shared" ref="AH150:AK150" si="279">VLOOKUP(AH84,non_table,5,FALSE)</f>
        <v>11000</v>
      </c>
      <c r="AI150" s="184">
        <f t="shared" si="279"/>
        <v>13000</v>
      </c>
      <c r="AJ150" s="184">
        <f t="shared" si="279"/>
        <v>18000</v>
      </c>
      <c r="AK150" s="184">
        <f t="shared" si="279"/>
        <v>21000</v>
      </c>
      <c r="AL150" s="184">
        <f t="shared" si="278"/>
        <v>22000</v>
      </c>
      <c r="AM150" s="184">
        <f t="shared" si="278"/>
        <v>25000</v>
      </c>
      <c r="AN150" s="184">
        <f t="shared" si="278"/>
        <v>28600</v>
      </c>
      <c r="AO150" s="184">
        <f t="shared" si="278"/>
        <v>45000</v>
      </c>
      <c r="AP150" s="184">
        <f t="shared" si="278"/>
        <v>48000</v>
      </c>
      <c r="AQ150" s="184">
        <f t="shared" si="278"/>
        <v>54000</v>
      </c>
      <c r="AR150" s="184">
        <f t="shared" si="278"/>
        <v>147200</v>
      </c>
      <c r="AS150" s="18">
        <f t="shared" si="275"/>
        <v>35869.565217391304</v>
      </c>
      <c r="AT150" s="184" t="str">
        <f t="shared" ref="AT150:AT181" si="280">IF(AND(B150&gt;=$AS150,B149&lt;$AS149),1,"")</f>
        <v/>
      </c>
      <c r="AU150" s="184" t="str">
        <f t="shared" ref="AU150:AU181" si="281">IF(AND(C150&gt;=$AS150,C149&lt;$AS149),1,"")</f>
        <v/>
      </c>
      <c r="AV150" s="184" t="str">
        <f t="shared" ref="AV150:AV181" si="282">IF(AND(D150&gt;=$AS150,D149&lt;$AS149),1,"")</f>
        <v/>
      </c>
      <c r="AW150" s="184" t="str">
        <f t="shared" ref="AW150:AW181" si="283">IF(AND(E150&gt;=$AS150,E149&lt;$AS149),1,"")</f>
        <v/>
      </c>
      <c r="AX150" s="184" t="str">
        <f t="shared" ref="AX150:AX181" si="284">IF(AND(F150&gt;=$AS150,F149&lt;$AS149),1,"")</f>
        <v/>
      </c>
      <c r="AY150" s="184" t="str">
        <f t="shared" ref="AY150:AY181" si="285">IF(AND(G150&gt;=$AS150,G149&lt;$AS149),1,"")</f>
        <v/>
      </c>
      <c r="AZ150" s="184" t="str">
        <f t="shared" ref="AZ150:AZ181" si="286">IF(AND(H150&gt;=$AS150,H149&lt;$AS149),1,"")</f>
        <v/>
      </c>
      <c r="BA150" s="184" t="str">
        <f t="shared" ref="BA150:BA181" si="287">IF(AND(I150&gt;=$AS150,I149&lt;$AS149),1,"")</f>
        <v/>
      </c>
      <c r="BB150" s="184" t="str">
        <f t="shared" ref="BB150:BB181" si="288">IF(AND(J150&gt;=$AS150,J149&lt;$AS149),1,"")</f>
        <v/>
      </c>
      <c r="BC150" s="184" t="str">
        <f t="shared" ref="BC150:BC181" si="289">IF(AND(K150&gt;=$AS150,K149&lt;$AS149),1,"")</f>
        <v/>
      </c>
      <c r="BD150" s="184" t="str">
        <f t="shared" ref="BD150:BD181" si="290">IF(AND(L150&gt;=$AS150,L149&lt;$AS149),1,"")</f>
        <v/>
      </c>
      <c r="BE150" s="184" t="str">
        <f t="shared" ref="BE150:BE181" si="291">IF(AND(M150&gt;=$AS150,M149&lt;$AS149),1,"")</f>
        <v/>
      </c>
      <c r="BF150" s="184" t="str">
        <f t="shared" ref="BF150:BF181" si="292">IF(AND(N150&gt;=$AS150,N149&lt;$AS149),1,"")</f>
        <v/>
      </c>
      <c r="BG150" s="184" t="str">
        <f t="shared" ref="BG150:BG181" si="293">IF(AND(O150&gt;=$AS150,O149&lt;$AS149),1,"")</f>
        <v/>
      </c>
      <c r="BH150" s="184" t="str">
        <f t="shared" ref="BH150:BH181" si="294">IF(AND(P150&gt;=$AS150,P149&lt;$AS149),1,"")</f>
        <v/>
      </c>
      <c r="BI150" s="184" t="str">
        <f t="shared" ref="BI150:BI181" si="295">IF(AND(Q150&gt;=$AS150,Q149&lt;$AS149),1,"")</f>
        <v/>
      </c>
      <c r="BJ150" s="184" t="str">
        <f t="shared" ref="BJ150:BJ181" si="296">IF(AND(R150&gt;=$AS150,R149&lt;$AS149),1,"")</f>
        <v/>
      </c>
      <c r="BK150" s="184" t="str">
        <f t="shared" ref="BK150:BK181" si="297">IF(AND(S150&gt;=$AS150,S149&lt;$AS149),1,"")</f>
        <v/>
      </c>
      <c r="BL150" s="184" t="str">
        <f t="shared" ref="BL150:BL181" si="298">IF(AND(T150&gt;=$AS150,T149&lt;$AS149),1,"")</f>
        <v/>
      </c>
      <c r="BM150" s="184" t="str">
        <f t="shared" ref="BM150:BM181" si="299">IF(AND(U150&gt;=$AS150,U149&lt;$AS149),1,"")</f>
        <v/>
      </c>
      <c r="BN150" s="184" t="str">
        <f t="shared" ref="BN150:BN181" si="300">IF(AND(V150&gt;=$AS150,V149&lt;$AS149),1,"")</f>
        <v/>
      </c>
      <c r="BO150" s="184" t="str">
        <f t="shared" ref="BO150:BO181" si="301">IF(AND(W150&gt;=$AS150,W149&lt;$AS149),1,"")</f>
        <v/>
      </c>
      <c r="BP150" s="184" t="str">
        <f t="shared" ref="BP150:BP181" si="302">IF(AND(X150&gt;=$AS150,X149&lt;$AS149),1,"")</f>
        <v/>
      </c>
      <c r="BQ150" s="184" t="str">
        <f t="shared" ref="BQ150:BQ181" si="303">IF(AND(Y150&gt;=$AS150,Y149&lt;$AS149),1,"")</f>
        <v/>
      </c>
      <c r="BR150" s="184" t="str">
        <f t="shared" ref="BR150:BT165" si="304">IF(AND(Z150&gt;=$AS150,Z149&lt;$AS149),1,"")</f>
        <v/>
      </c>
      <c r="BS150" s="184" t="str">
        <f t="shared" si="304"/>
        <v/>
      </c>
      <c r="BT150" s="184" t="str">
        <f t="shared" si="304"/>
        <v/>
      </c>
      <c r="BU150" s="184" t="str">
        <f t="shared" ref="BU150:BU181" si="305">IF(AND(AC150&gt;=$AS150,AC149&lt;$AS149),1,"")</f>
        <v/>
      </c>
      <c r="BV150" s="184" t="str">
        <f t="shared" ref="BV150:BV181" si="306">IF(AND(AD150&gt;=$AS150,AD149&lt;$AS149),1,"")</f>
        <v/>
      </c>
      <c r="BW150" s="184" t="str">
        <f t="shared" ref="BW150:BW181" si="307">IF(AND(AE150&gt;=$AS150,AE149&lt;$AS149),1,"")</f>
        <v/>
      </c>
      <c r="BX150" s="184" t="str">
        <f t="shared" ref="BX150:BX181" si="308">IF(AND(AF150&gt;=$AS150,AF149&lt;$AS149),1,"")</f>
        <v/>
      </c>
      <c r="BY150" s="184" t="str">
        <f t="shared" ref="BY150:BY181" si="309">IF(AND(AG150&gt;=$AS150,AG149&lt;$AS149),1,"")</f>
        <v/>
      </c>
      <c r="BZ150" s="184" t="str">
        <f t="shared" ref="BZ150:BZ181" si="310">IF(AND(AH150&gt;=$AS150,AH149&lt;$AS149),1,"")</f>
        <v/>
      </c>
      <c r="CA150" s="184" t="str">
        <f t="shared" ref="CA150:CA181" si="311">IF(AND(AI150&gt;=$AS150,AI149&lt;$AS149),1,"")</f>
        <v/>
      </c>
      <c r="CB150" s="184" t="str">
        <f t="shared" ref="CB150:CB181" si="312">IF(AND(AJ150&gt;=$AS150,AJ149&lt;$AS149),1,"")</f>
        <v/>
      </c>
      <c r="CC150" s="184" t="str">
        <f t="shared" ref="CC150:CC181" si="313">IF(AND(AK150&gt;=$AS150,AK149&lt;$AS149),1,"")</f>
        <v/>
      </c>
      <c r="CD150" s="184" t="str">
        <f t="shared" ref="CD150:CD181" si="314">IF(AND(AL150&gt;=$AS150,AL149&lt;$AS149),1,"")</f>
        <v/>
      </c>
      <c r="CE150" s="184" t="str">
        <f t="shared" ref="CE150:CE181" si="315">IF(AND(AM150&gt;=$AS150,AM149&lt;$AS149),1,"")</f>
        <v/>
      </c>
      <c r="CF150" s="184" t="str">
        <f t="shared" ref="CF150:CF181" si="316">IF(AND(AN150&gt;=$AS150,AN149&lt;$AS149),1,"")</f>
        <v/>
      </c>
      <c r="CG150" s="184" t="str">
        <f t="shared" ref="CG150:CG181" si="317">IF(AND(AO150&gt;=$AS150,AO149&lt;$AS149),1,"")</f>
        <v/>
      </c>
      <c r="CH150" s="184" t="str">
        <f t="shared" ref="CH150:CH181" si="318">IF(AND(AP150&gt;=$AS150,AP149&lt;$AS149),1,"")</f>
        <v/>
      </c>
      <c r="CI150" s="184" t="str">
        <f t="shared" ref="CI150:CI181" si="319">IF(AND(AQ150&gt;=$AS150,AQ149&lt;$AS149),1,"")</f>
        <v/>
      </c>
      <c r="CJ150" s="184" t="str">
        <f t="shared" ref="CJ150:CJ181" si="320">IF(AND(AR150&gt;=$AS150,AR149&lt;$AS149),1,"")</f>
        <v/>
      </c>
      <c r="CK150" s="184"/>
      <c r="CM150" s="184"/>
      <c r="CN150"/>
      <c r="CP150"/>
      <c r="CR150"/>
      <c r="CT150"/>
      <c r="CV150"/>
      <c r="CX150"/>
      <c r="CZ150"/>
      <c r="DB150"/>
      <c r="DD150"/>
      <c r="DF150"/>
      <c r="ED150" s="184"/>
      <c r="EF150" s="184"/>
      <c r="EH150" s="184"/>
      <c r="EJ150" s="184"/>
      <c r="EL150" s="184"/>
      <c r="EN150" s="184"/>
      <c r="EP150" s="184"/>
      <c r="ER150" s="184"/>
      <c r="ET150" s="184"/>
      <c r="EV150" s="184"/>
      <c r="EX150" s="184"/>
      <c r="EZ150" s="184"/>
      <c r="FB150" s="184"/>
    </row>
    <row r="151" spans="1:158">
      <c r="A151" s="184">
        <f t="shared" si="276"/>
        <v>5.5</v>
      </c>
      <c r="B151" s="18">
        <f>B150+(B$174-B$150)/24</f>
        <v>4879.166666666667</v>
      </c>
      <c r="C151" s="18">
        <f t="shared" ref="C151:Y162" si="321">C150+(C$174-C$150)/24</f>
        <v>6125</v>
      </c>
      <c r="D151" s="18">
        <f t="shared" si="321"/>
        <v>8066.666666666667</v>
      </c>
      <c r="E151" s="18">
        <f t="shared" si="321"/>
        <v>9650</v>
      </c>
      <c r="F151" s="18">
        <f t="shared" si="321"/>
        <v>4858.333333333333</v>
      </c>
      <c r="G151" s="18">
        <f t="shared" si="321"/>
        <v>6095.833333333333</v>
      </c>
      <c r="H151" s="18">
        <f t="shared" si="321"/>
        <v>8070.833333333333</v>
      </c>
      <c r="I151" s="18">
        <f t="shared" si="321"/>
        <v>4875</v>
      </c>
      <c r="J151" s="18">
        <f t="shared" si="321"/>
        <v>6404.166666666667</v>
      </c>
      <c r="K151" s="18">
        <f t="shared" si="321"/>
        <v>8041.666666666667</v>
      </c>
      <c r="L151" s="18">
        <f t="shared" si="321"/>
        <v>9279.1666666666661</v>
      </c>
      <c r="M151" s="18">
        <f t="shared" si="321"/>
        <v>12262.5</v>
      </c>
      <c r="N151" s="18">
        <f t="shared" si="321"/>
        <v>7762.0833333333321</v>
      </c>
      <c r="O151" s="18">
        <f t="shared" si="321"/>
        <v>9884</v>
      </c>
      <c r="P151" s="18">
        <f t="shared" si="321"/>
        <v>13793.333333333334</v>
      </c>
      <c r="Q151" s="18">
        <f t="shared" si="321"/>
        <v>13178.333333333334</v>
      </c>
      <c r="R151" s="18">
        <f t="shared" si="321"/>
        <v>19540</v>
      </c>
      <c r="S151" s="18">
        <f t="shared" si="321"/>
        <v>11187.5</v>
      </c>
      <c r="T151" s="18">
        <f t="shared" si="321"/>
        <v>13693.75</v>
      </c>
      <c r="U151" s="18">
        <f t="shared" si="321"/>
        <v>15963.566666666668</v>
      </c>
      <c r="V151" s="18">
        <f t="shared" si="321"/>
        <v>18999</v>
      </c>
      <c r="W151" s="18">
        <f t="shared" si="321"/>
        <v>23854.3</v>
      </c>
      <c r="X151" s="18">
        <f t="shared" si="321"/>
        <v>30332.250000000004</v>
      </c>
      <c r="Y151" s="18">
        <f t="shared" si="321"/>
        <v>32860.833333333336</v>
      </c>
      <c r="Z151" s="18">
        <f t="shared" ref="Z151:AB161" si="322">Z150+(Z$174-Z$150)/24</f>
        <v>25410</v>
      </c>
      <c r="AA151" s="18">
        <f t="shared" si="322"/>
        <v>32670</v>
      </c>
      <c r="AB151" s="18">
        <f t="shared" si="322"/>
        <v>39985</v>
      </c>
      <c r="AC151" s="18">
        <f t="shared" ref="AC151:AR161" si="323">AC150+(AC$174-AC$150)/24</f>
        <v>8783.3333333333339</v>
      </c>
      <c r="AD151" s="18">
        <f t="shared" si="323"/>
        <v>10954.166666666666</v>
      </c>
      <c r="AE151" s="18">
        <f t="shared" si="323"/>
        <v>13600</v>
      </c>
      <c r="AF151" s="18">
        <f t="shared" si="323"/>
        <v>18000</v>
      </c>
      <c r="AG151" s="18">
        <f t="shared" si="323"/>
        <v>20300</v>
      </c>
      <c r="AH151" s="18">
        <f t="shared" ref="AH151:AK151" si="324">AH150+(AH$174-AH$150)/24</f>
        <v>11100</v>
      </c>
      <c r="AI151" s="18">
        <f t="shared" si="324"/>
        <v>13075</v>
      </c>
      <c r="AJ151" s="18">
        <f t="shared" si="324"/>
        <v>18104.166666666668</v>
      </c>
      <c r="AK151" s="18">
        <f t="shared" si="324"/>
        <v>21083.333333333332</v>
      </c>
      <c r="AL151" s="18">
        <f t="shared" si="323"/>
        <v>22000</v>
      </c>
      <c r="AM151" s="18">
        <f t="shared" si="323"/>
        <v>25000</v>
      </c>
      <c r="AN151" s="18">
        <f t="shared" si="323"/>
        <v>28600</v>
      </c>
      <c r="AO151" s="18">
        <f t="shared" si="323"/>
        <v>45000</v>
      </c>
      <c r="AP151" s="18">
        <f t="shared" si="323"/>
        <v>48000</v>
      </c>
      <c r="AQ151" s="18">
        <f t="shared" si="323"/>
        <v>54000</v>
      </c>
      <c r="AR151" s="18">
        <f t="shared" si="323"/>
        <v>147200</v>
      </c>
      <c r="AS151" s="18">
        <f t="shared" si="275"/>
        <v>35543.47826086956</v>
      </c>
      <c r="AT151" s="184" t="str">
        <f t="shared" si="280"/>
        <v/>
      </c>
      <c r="AU151" s="184" t="str">
        <f t="shared" si="281"/>
        <v/>
      </c>
      <c r="AV151" s="184" t="str">
        <f t="shared" si="282"/>
        <v/>
      </c>
      <c r="AW151" s="184" t="str">
        <f t="shared" si="283"/>
        <v/>
      </c>
      <c r="AX151" s="184" t="str">
        <f t="shared" si="284"/>
        <v/>
      </c>
      <c r="AY151" s="184" t="str">
        <f t="shared" si="285"/>
        <v/>
      </c>
      <c r="AZ151" s="184" t="str">
        <f t="shared" si="286"/>
        <v/>
      </c>
      <c r="BA151" s="184" t="str">
        <f t="shared" si="287"/>
        <v/>
      </c>
      <c r="BB151" s="184" t="str">
        <f t="shared" si="288"/>
        <v/>
      </c>
      <c r="BC151" s="184" t="str">
        <f t="shared" si="289"/>
        <v/>
      </c>
      <c r="BD151" s="184" t="str">
        <f t="shared" si="290"/>
        <v/>
      </c>
      <c r="BE151" s="184" t="str">
        <f t="shared" si="291"/>
        <v/>
      </c>
      <c r="BF151" s="184" t="str">
        <f t="shared" si="292"/>
        <v/>
      </c>
      <c r="BG151" s="184" t="str">
        <f t="shared" si="293"/>
        <v/>
      </c>
      <c r="BH151" s="184" t="str">
        <f t="shared" si="294"/>
        <v/>
      </c>
      <c r="BI151" s="184" t="str">
        <f t="shared" si="295"/>
        <v/>
      </c>
      <c r="BJ151" s="184" t="str">
        <f t="shared" si="296"/>
        <v/>
      </c>
      <c r="BK151" s="184" t="str">
        <f t="shared" si="297"/>
        <v/>
      </c>
      <c r="BL151" s="184" t="str">
        <f t="shared" si="298"/>
        <v/>
      </c>
      <c r="BM151" s="184" t="str">
        <f t="shared" si="299"/>
        <v/>
      </c>
      <c r="BN151" s="184" t="str">
        <f t="shared" si="300"/>
        <v/>
      </c>
      <c r="BO151" s="184" t="str">
        <f t="shared" si="301"/>
        <v/>
      </c>
      <c r="BP151" s="184" t="str">
        <f t="shared" si="302"/>
        <v/>
      </c>
      <c r="BQ151" s="184" t="str">
        <f t="shared" si="303"/>
        <v/>
      </c>
      <c r="BR151" s="184" t="str">
        <f t="shared" si="304"/>
        <v/>
      </c>
      <c r="BS151" s="184" t="str">
        <f t="shared" si="304"/>
        <v/>
      </c>
      <c r="BT151" s="184" t="str">
        <f t="shared" si="304"/>
        <v/>
      </c>
      <c r="BU151" s="184" t="str">
        <f t="shared" si="305"/>
        <v/>
      </c>
      <c r="BV151" s="184" t="str">
        <f t="shared" si="306"/>
        <v/>
      </c>
      <c r="BW151" s="184" t="str">
        <f t="shared" si="307"/>
        <v/>
      </c>
      <c r="BX151" s="184" t="str">
        <f t="shared" si="308"/>
        <v/>
      </c>
      <c r="BY151" s="184" t="str">
        <f t="shared" si="309"/>
        <v/>
      </c>
      <c r="BZ151" s="184" t="str">
        <f t="shared" si="310"/>
        <v/>
      </c>
      <c r="CA151" s="184" t="str">
        <f t="shared" si="311"/>
        <v/>
      </c>
      <c r="CB151" s="184" t="str">
        <f t="shared" si="312"/>
        <v/>
      </c>
      <c r="CC151" s="184" t="str">
        <f t="shared" si="313"/>
        <v/>
      </c>
      <c r="CD151" s="184" t="str">
        <f t="shared" si="314"/>
        <v/>
      </c>
      <c r="CE151" s="184" t="str">
        <f t="shared" si="315"/>
        <v/>
      </c>
      <c r="CF151" s="184" t="str">
        <f t="shared" si="316"/>
        <v/>
      </c>
      <c r="CG151" s="184" t="str">
        <f t="shared" si="317"/>
        <v/>
      </c>
      <c r="CH151" s="184" t="str">
        <f t="shared" si="318"/>
        <v/>
      </c>
      <c r="CI151" s="184" t="str">
        <f t="shared" si="319"/>
        <v/>
      </c>
      <c r="CJ151" s="184" t="str">
        <f t="shared" si="320"/>
        <v/>
      </c>
      <c r="CK151" s="184"/>
      <c r="CM151" s="184"/>
      <c r="CN151"/>
      <c r="CP151"/>
      <c r="CR151"/>
      <c r="CT151"/>
      <c r="CV151"/>
      <c r="CX151"/>
      <c r="CZ151"/>
      <c r="DB151"/>
      <c r="DD151"/>
      <c r="DF151"/>
      <c r="ED151" s="184"/>
      <c r="EF151" s="184"/>
      <c r="EH151" s="184"/>
      <c r="EJ151" s="184"/>
      <c r="EL151" s="184"/>
      <c r="EN151" s="184"/>
      <c r="EP151" s="184"/>
      <c r="ER151" s="184"/>
      <c r="ET151" s="184"/>
      <c r="EV151" s="184"/>
      <c r="EX151" s="184"/>
      <c r="EZ151" s="184"/>
      <c r="FB151" s="184"/>
    </row>
    <row r="152" spans="1:158">
      <c r="A152" s="184">
        <f t="shared" si="276"/>
        <v>6</v>
      </c>
      <c r="B152" s="18">
        <f t="shared" ref="B152:B173" si="325">B151+(B$174-B$150)/24</f>
        <v>4958.3333333333339</v>
      </c>
      <c r="C152" s="18">
        <f t="shared" si="321"/>
        <v>6250</v>
      </c>
      <c r="D152" s="18">
        <f t="shared" si="321"/>
        <v>8233.3333333333339</v>
      </c>
      <c r="E152" s="18">
        <f t="shared" si="321"/>
        <v>9800</v>
      </c>
      <c r="F152" s="18">
        <f t="shared" si="321"/>
        <v>4916.6666666666661</v>
      </c>
      <c r="G152" s="18">
        <f t="shared" si="321"/>
        <v>6191.6666666666661</v>
      </c>
      <c r="H152" s="18">
        <f t="shared" si="321"/>
        <v>8241.6666666666661</v>
      </c>
      <c r="I152" s="18">
        <f t="shared" si="321"/>
        <v>4950</v>
      </c>
      <c r="J152" s="18">
        <f t="shared" si="321"/>
        <v>6508.3333333333339</v>
      </c>
      <c r="K152" s="18">
        <f t="shared" si="321"/>
        <v>8183.3333333333339</v>
      </c>
      <c r="L152" s="18">
        <f t="shared" si="321"/>
        <v>9458.3333333333321</v>
      </c>
      <c r="M152" s="18">
        <f t="shared" si="321"/>
        <v>12425</v>
      </c>
      <c r="N152" s="18">
        <f t="shared" si="321"/>
        <v>7894.1666666666652</v>
      </c>
      <c r="O152" s="18">
        <f t="shared" si="321"/>
        <v>9976</v>
      </c>
      <c r="P152" s="18">
        <f t="shared" si="321"/>
        <v>13906.666666666668</v>
      </c>
      <c r="Q152" s="18">
        <f t="shared" si="321"/>
        <v>13396.666666666668</v>
      </c>
      <c r="R152" s="18">
        <f t="shared" si="321"/>
        <v>19760</v>
      </c>
      <c r="S152" s="18">
        <f t="shared" si="321"/>
        <v>11375</v>
      </c>
      <c r="T152" s="18">
        <f t="shared" si="321"/>
        <v>13887.5</v>
      </c>
      <c r="U152" s="18">
        <f t="shared" si="321"/>
        <v>16197.133333333333</v>
      </c>
      <c r="V152" s="18">
        <f t="shared" si="321"/>
        <v>19278</v>
      </c>
      <c r="W152" s="18">
        <f t="shared" si="321"/>
        <v>24204.6</v>
      </c>
      <c r="X152" s="18">
        <f t="shared" si="321"/>
        <v>30424.500000000004</v>
      </c>
      <c r="Y152" s="18">
        <f t="shared" si="321"/>
        <v>33301.666666666672</v>
      </c>
      <c r="Z152" s="18">
        <f t="shared" si="322"/>
        <v>25620</v>
      </c>
      <c r="AA152" s="18">
        <f t="shared" si="322"/>
        <v>32940</v>
      </c>
      <c r="AB152" s="18">
        <f t="shared" si="322"/>
        <v>40370</v>
      </c>
      <c r="AC152" s="18">
        <f t="shared" si="323"/>
        <v>8866.6666666666679</v>
      </c>
      <c r="AD152" s="18">
        <f t="shared" si="323"/>
        <v>11008.333333333332</v>
      </c>
      <c r="AE152" s="18">
        <f t="shared" si="323"/>
        <v>13600</v>
      </c>
      <c r="AF152" s="18">
        <f t="shared" si="323"/>
        <v>18000</v>
      </c>
      <c r="AG152" s="18">
        <f t="shared" si="323"/>
        <v>20300</v>
      </c>
      <c r="AH152" s="18">
        <f t="shared" ref="AH152:AK152" si="326">AH151+(AH$174-AH$150)/24</f>
        <v>11200</v>
      </c>
      <c r="AI152" s="18">
        <f t="shared" si="326"/>
        <v>13150</v>
      </c>
      <c r="AJ152" s="18">
        <f t="shared" si="326"/>
        <v>18208.333333333336</v>
      </c>
      <c r="AK152" s="18">
        <f t="shared" si="326"/>
        <v>21166.666666666664</v>
      </c>
      <c r="AL152" s="18">
        <f t="shared" si="323"/>
        <v>22000</v>
      </c>
      <c r="AM152" s="18">
        <f t="shared" si="323"/>
        <v>25000</v>
      </c>
      <c r="AN152" s="18">
        <f t="shared" si="323"/>
        <v>28600</v>
      </c>
      <c r="AO152" s="18">
        <f t="shared" si="323"/>
        <v>45000</v>
      </c>
      <c r="AP152" s="18">
        <f t="shared" si="323"/>
        <v>48000</v>
      </c>
      <c r="AQ152" s="18">
        <f t="shared" si="323"/>
        <v>54000</v>
      </c>
      <c r="AR152" s="18">
        <f t="shared" si="323"/>
        <v>147200</v>
      </c>
      <c r="AS152" s="18">
        <f t="shared" si="275"/>
        <v>35217.391304347824</v>
      </c>
      <c r="AT152" s="184" t="str">
        <f t="shared" si="280"/>
        <v/>
      </c>
      <c r="AU152" s="184" t="str">
        <f t="shared" si="281"/>
        <v/>
      </c>
      <c r="AV152" s="184" t="str">
        <f t="shared" si="282"/>
        <v/>
      </c>
      <c r="AW152" s="184" t="str">
        <f t="shared" si="283"/>
        <v/>
      </c>
      <c r="AX152" s="184" t="str">
        <f t="shared" si="284"/>
        <v/>
      </c>
      <c r="AY152" s="184" t="str">
        <f t="shared" si="285"/>
        <v/>
      </c>
      <c r="AZ152" s="184" t="str">
        <f t="shared" si="286"/>
        <v/>
      </c>
      <c r="BA152" s="184" t="str">
        <f t="shared" si="287"/>
        <v/>
      </c>
      <c r="BB152" s="184" t="str">
        <f t="shared" si="288"/>
        <v/>
      </c>
      <c r="BC152" s="184" t="str">
        <f t="shared" si="289"/>
        <v/>
      </c>
      <c r="BD152" s="184" t="str">
        <f t="shared" si="290"/>
        <v/>
      </c>
      <c r="BE152" s="184" t="str">
        <f t="shared" si="291"/>
        <v/>
      </c>
      <c r="BF152" s="184" t="str">
        <f t="shared" si="292"/>
        <v/>
      </c>
      <c r="BG152" s="184" t="str">
        <f t="shared" si="293"/>
        <v/>
      </c>
      <c r="BH152" s="184" t="str">
        <f t="shared" si="294"/>
        <v/>
      </c>
      <c r="BI152" s="184" t="str">
        <f t="shared" si="295"/>
        <v/>
      </c>
      <c r="BJ152" s="184" t="str">
        <f t="shared" si="296"/>
        <v/>
      </c>
      <c r="BK152" s="184" t="str">
        <f t="shared" si="297"/>
        <v/>
      </c>
      <c r="BL152" s="184" t="str">
        <f t="shared" si="298"/>
        <v/>
      </c>
      <c r="BM152" s="184" t="str">
        <f t="shared" si="299"/>
        <v/>
      </c>
      <c r="BN152" s="184" t="str">
        <f t="shared" si="300"/>
        <v/>
      </c>
      <c r="BO152" s="184" t="str">
        <f t="shared" si="301"/>
        <v/>
      </c>
      <c r="BP152" s="184" t="str">
        <f t="shared" si="302"/>
        <v/>
      </c>
      <c r="BQ152" s="184" t="str">
        <f t="shared" si="303"/>
        <v/>
      </c>
      <c r="BR152" s="184" t="str">
        <f t="shared" si="304"/>
        <v/>
      </c>
      <c r="BS152" s="184" t="str">
        <f t="shared" si="304"/>
        <v/>
      </c>
      <c r="BT152" s="184" t="str">
        <f t="shared" si="304"/>
        <v/>
      </c>
      <c r="BU152" s="184" t="str">
        <f t="shared" si="305"/>
        <v/>
      </c>
      <c r="BV152" s="184" t="str">
        <f t="shared" si="306"/>
        <v/>
      </c>
      <c r="BW152" s="184" t="str">
        <f t="shared" si="307"/>
        <v/>
      </c>
      <c r="BX152" s="184" t="str">
        <f t="shared" si="308"/>
        <v/>
      </c>
      <c r="BY152" s="184" t="str">
        <f t="shared" si="309"/>
        <v/>
      </c>
      <c r="BZ152" s="184" t="str">
        <f t="shared" si="310"/>
        <v/>
      </c>
      <c r="CA152" s="184" t="str">
        <f t="shared" si="311"/>
        <v/>
      </c>
      <c r="CB152" s="184" t="str">
        <f t="shared" si="312"/>
        <v/>
      </c>
      <c r="CC152" s="184" t="str">
        <f t="shared" si="313"/>
        <v/>
      </c>
      <c r="CD152" s="184" t="str">
        <f t="shared" si="314"/>
        <v/>
      </c>
      <c r="CE152" s="184" t="str">
        <f t="shared" si="315"/>
        <v/>
      </c>
      <c r="CF152" s="184" t="str">
        <f t="shared" si="316"/>
        <v/>
      </c>
      <c r="CG152" s="184" t="str">
        <f t="shared" si="317"/>
        <v/>
      </c>
      <c r="CH152" s="184" t="str">
        <f t="shared" si="318"/>
        <v/>
      </c>
      <c r="CI152" s="184" t="str">
        <f t="shared" si="319"/>
        <v/>
      </c>
      <c r="CJ152" s="184" t="str">
        <f t="shared" si="320"/>
        <v/>
      </c>
      <c r="CK152" s="184"/>
      <c r="CM152" s="184"/>
      <c r="CN152"/>
      <c r="CP152"/>
      <c r="CR152"/>
      <c r="CT152"/>
      <c r="CV152"/>
      <c r="CX152"/>
      <c r="CZ152"/>
      <c r="DB152"/>
      <c r="DD152"/>
      <c r="DF152"/>
      <c r="ED152" s="184"/>
      <c r="EF152" s="184"/>
      <c r="EH152" s="184"/>
      <c r="EJ152" s="184"/>
      <c r="EL152" s="184"/>
      <c r="EN152" s="184"/>
      <c r="EP152" s="184"/>
      <c r="ER152" s="184"/>
      <c r="ET152" s="184"/>
      <c r="EV152" s="184"/>
      <c r="EX152" s="184"/>
      <c r="EZ152" s="184"/>
      <c r="FB152" s="184"/>
    </row>
    <row r="153" spans="1:158">
      <c r="A153" s="184">
        <f t="shared" si="276"/>
        <v>6.5</v>
      </c>
      <c r="B153" s="18">
        <f t="shared" si="325"/>
        <v>5037.5000000000009</v>
      </c>
      <c r="C153" s="18">
        <f t="shared" si="321"/>
        <v>6375</v>
      </c>
      <c r="D153" s="18">
        <f t="shared" si="321"/>
        <v>8400</v>
      </c>
      <c r="E153" s="18">
        <f t="shared" si="321"/>
        <v>9950</v>
      </c>
      <c r="F153" s="18">
        <f t="shared" si="321"/>
        <v>4974.9999999999991</v>
      </c>
      <c r="G153" s="18">
        <f t="shared" si="321"/>
        <v>6287.4999999999991</v>
      </c>
      <c r="H153" s="18">
        <f t="shared" si="321"/>
        <v>8412.5</v>
      </c>
      <c r="I153" s="18">
        <f t="shared" si="321"/>
        <v>5025</v>
      </c>
      <c r="J153" s="18">
        <f t="shared" si="321"/>
        <v>6612.5000000000009</v>
      </c>
      <c r="K153" s="18">
        <f t="shared" si="321"/>
        <v>8325</v>
      </c>
      <c r="L153" s="18">
        <f t="shared" si="321"/>
        <v>9637.4999999999982</v>
      </c>
      <c r="M153" s="18">
        <f t="shared" si="321"/>
        <v>12587.5</v>
      </c>
      <c r="N153" s="18">
        <f t="shared" si="321"/>
        <v>8026.2499999999982</v>
      </c>
      <c r="O153" s="18">
        <f t="shared" si="321"/>
        <v>10068</v>
      </c>
      <c r="P153" s="18">
        <f t="shared" si="321"/>
        <v>14020.000000000002</v>
      </c>
      <c r="Q153" s="18">
        <f t="shared" si="321"/>
        <v>13615.000000000002</v>
      </c>
      <c r="R153" s="18">
        <f t="shared" si="321"/>
        <v>19980</v>
      </c>
      <c r="S153" s="18">
        <f t="shared" si="321"/>
        <v>11562.5</v>
      </c>
      <c r="T153" s="18">
        <f t="shared" si="321"/>
        <v>14081.25</v>
      </c>
      <c r="U153" s="18">
        <f t="shared" si="321"/>
        <v>16430.7</v>
      </c>
      <c r="V153" s="18">
        <f t="shared" si="321"/>
        <v>19557</v>
      </c>
      <c r="W153" s="18">
        <f t="shared" si="321"/>
        <v>24554.899999999998</v>
      </c>
      <c r="X153" s="18">
        <f t="shared" si="321"/>
        <v>30516.750000000004</v>
      </c>
      <c r="Y153" s="18">
        <f t="shared" si="321"/>
        <v>33742.500000000007</v>
      </c>
      <c r="Z153" s="18">
        <f t="shared" si="322"/>
        <v>25830</v>
      </c>
      <c r="AA153" s="18">
        <f t="shared" si="322"/>
        <v>33210</v>
      </c>
      <c r="AB153" s="18">
        <f t="shared" si="322"/>
        <v>40755</v>
      </c>
      <c r="AC153" s="18">
        <f t="shared" si="323"/>
        <v>8950.0000000000018</v>
      </c>
      <c r="AD153" s="18">
        <f t="shared" si="323"/>
        <v>11062.499999999998</v>
      </c>
      <c r="AE153" s="18">
        <f t="shared" si="323"/>
        <v>13600</v>
      </c>
      <c r="AF153" s="18">
        <f t="shared" si="323"/>
        <v>18000</v>
      </c>
      <c r="AG153" s="18">
        <f t="shared" si="323"/>
        <v>20300</v>
      </c>
      <c r="AH153" s="18">
        <f t="shared" ref="AH153:AK153" si="327">AH152+(AH$174-AH$150)/24</f>
        <v>11300</v>
      </c>
      <c r="AI153" s="18">
        <f t="shared" si="327"/>
        <v>13225</v>
      </c>
      <c r="AJ153" s="18">
        <f t="shared" si="327"/>
        <v>18312.500000000004</v>
      </c>
      <c r="AK153" s="18">
        <f t="shared" si="327"/>
        <v>21249.999999999996</v>
      </c>
      <c r="AL153" s="18">
        <f t="shared" si="323"/>
        <v>22000</v>
      </c>
      <c r="AM153" s="18">
        <f t="shared" si="323"/>
        <v>25000</v>
      </c>
      <c r="AN153" s="18">
        <f t="shared" si="323"/>
        <v>28600</v>
      </c>
      <c r="AO153" s="18">
        <f t="shared" si="323"/>
        <v>45000</v>
      </c>
      <c r="AP153" s="18">
        <f t="shared" si="323"/>
        <v>48000</v>
      </c>
      <c r="AQ153" s="18">
        <f t="shared" si="323"/>
        <v>54000</v>
      </c>
      <c r="AR153" s="18">
        <f t="shared" si="323"/>
        <v>147200</v>
      </c>
      <c r="AS153" s="18">
        <f t="shared" si="275"/>
        <v>34891.304347826088</v>
      </c>
      <c r="AT153" s="184" t="str">
        <f t="shared" si="280"/>
        <v/>
      </c>
      <c r="AU153" s="184" t="str">
        <f t="shared" si="281"/>
        <v/>
      </c>
      <c r="AV153" s="184" t="str">
        <f t="shared" si="282"/>
        <v/>
      </c>
      <c r="AW153" s="184" t="str">
        <f t="shared" si="283"/>
        <v/>
      </c>
      <c r="AX153" s="184" t="str">
        <f t="shared" si="284"/>
        <v/>
      </c>
      <c r="AY153" s="184" t="str">
        <f t="shared" si="285"/>
        <v/>
      </c>
      <c r="AZ153" s="184" t="str">
        <f t="shared" si="286"/>
        <v/>
      </c>
      <c r="BA153" s="184" t="str">
        <f t="shared" si="287"/>
        <v/>
      </c>
      <c r="BB153" s="184" t="str">
        <f t="shared" si="288"/>
        <v/>
      </c>
      <c r="BC153" s="184" t="str">
        <f t="shared" si="289"/>
        <v/>
      </c>
      <c r="BD153" s="184" t="str">
        <f t="shared" si="290"/>
        <v/>
      </c>
      <c r="BE153" s="184" t="str">
        <f t="shared" si="291"/>
        <v/>
      </c>
      <c r="BF153" s="184" t="str">
        <f t="shared" si="292"/>
        <v/>
      </c>
      <c r="BG153" s="184" t="str">
        <f t="shared" si="293"/>
        <v/>
      </c>
      <c r="BH153" s="184" t="str">
        <f t="shared" si="294"/>
        <v/>
      </c>
      <c r="BI153" s="184" t="str">
        <f t="shared" si="295"/>
        <v/>
      </c>
      <c r="BJ153" s="184" t="str">
        <f t="shared" si="296"/>
        <v/>
      </c>
      <c r="BK153" s="184" t="str">
        <f t="shared" si="297"/>
        <v/>
      </c>
      <c r="BL153" s="184" t="str">
        <f t="shared" si="298"/>
        <v/>
      </c>
      <c r="BM153" s="184" t="str">
        <f t="shared" si="299"/>
        <v/>
      </c>
      <c r="BN153" s="184" t="str">
        <f t="shared" si="300"/>
        <v/>
      </c>
      <c r="BO153" s="184" t="str">
        <f t="shared" si="301"/>
        <v/>
      </c>
      <c r="BP153" s="184" t="str">
        <f t="shared" si="302"/>
        <v/>
      </c>
      <c r="BQ153" s="184" t="str">
        <f t="shared" si="303"/>
        <v/>
      </c>
      <c r="BR153" s="184" t="str">
        <f t="shared" si="304"/>
        <v/>
      </c>
      <c r="BS153" s="184" t="str">
        <f t="shared" si="304"/>
        <v/>
      </c>
      <c r="BT153" s="184" t="str">
        <f t="shared" si="304"/>
        <v/>
      </c>
      <c r="BU153" s="184" t="str">
        <f t="shared" si="305"/>
        <v/>
      </c>
      <c r="BV153" s="184" t="str">
        <f t="shared" si="306"/>
        <v/>
      </c>
      <c r="BW153" s="184" t="str">
        <f t="shared" si="307"/>
        <v/>
      </c>
      <c r="BX153" s="184" t="str">
        <f t="shared" si="308"/>
        <v/>
      </c>
      <c r="BY153" s="184" t="str">
        <f t="shared" si="309"/>
        <v/>
      </c>
      <c r="BZ153" s="184" t="str">
        <f t="shared" si="310"/>
        <v/>
      </c>
      <c r="CA153" s="184" t="str">
        <f t="shared" si="311"/>
        <v/>
      </c>
      <c r="CB153" s="184" t="str">
        <f t="shared" si="312"/>
        <v/>
      </c>
      <c r="CC153" s="184" t="str">
        <f t="shared" si="313"/>
        <v/>
      </c>
      <c r="CD153" s="184" t="str">
        <f t="shared" si="314"/>
        <v/>
      </c>
      <c r="CE153" s="184" t="str">
        <f t="shared" si="315"/>
        <v/>
      </c>
      <c r="CF153" s="184" t="str">
        <f t="shared" si="316"/>
        <v/>
      </c>
      <c r="CG153" s="184" t="str">
        <f t="shared" si="317"/>
        <v/>
      </c>
      <c r="CH153" s="184" t="str">
        <f t="shared" si="318"/>
        <v/>
      </c>
      <c r="CI153" s="184" t="str">
        <f t="shared" si="319"/>
        <v/>
      </c>
      <c r="CJ153" s="184" t="str">
        <f t="shared" si="320"/>
        <v/>
      </c>
      <c r="CK153" s="184"/>
      <c r="CM153" s="184"/>
      <c r="CN153"/>
      <c r="CP153"/>
      <c r="CR153"/>
      <c r="CT153"/>
      <c r="CV153"/>
      <c r="CX153"/>
      <c r="CZ153"/>
      <c r="DB153"/>
      <c r="DD153"/>
      <c r="DF153"/>
      <c r="ED153" s="184"/>
      <c r="EF153" s="184"/>
      <c r="EH153" s="184"/>
      <c r="EJ153" s="184"/>
      <c r="EL153" s="184"/>
      <c r="EN153" s="184"/>
      <c r="EP153" s="184"/>
      <c r="ER153" s="184"/>
      <c r="ET153" s="184"/>
      <c r="EV153" s="184"/>
      <c r="EX153" s="184"/>
      <c r="EZ153" s="184"/>
      <c r="FB153" s="184"/>
    </row>
    <row r="154" spans="1:158">
      <c r="A154" s="184">
        <f t="shared" si="276"/>
        <v>7</v>
      </c>
      <c r="B154" s="18">
        <f t="shared" si="325"/>
        <v>5116.6666666666679</v>
      </c>
      <c r="C154" s="18">
        <f t="shared" si="321"/>
        <v>6500</v>
      </c>
      <c r="D154" s="18">
        <f t="shared" si="321"/>
        <v>8566.6666666666661</v>
      </c>
      <c r="E154" s="18">
        <f t="shared" si="321"/>
        <v>10100</v>
      </c>
      <c r="F154" s="18">
        <f t="shared" si="321"/>
        <v>5033.3333333333321</v>
      </c>
      <c r="G154" s="18">
        <f t="shared" si="321"/>
        <v>6383.3333333333321</v>
      </c>
      <c r="H154" s="18">
        <f t="shared" si="321"/>
        <v>8583.3333333333339</v>
      </c>
      <c r="I154" s="18">
        <f t="shared" si="321"/>
        <v>5100</v>
      </c>
      <c r="J154" s="18">
        <f t="shared" si="321"/>
        <v>6716.6666666666679</v>
      </c>
      <c r="K154" s="18">
        <f t="shared" si="321"/>
        <v>8466.6666666666661</v>
      </c>
      <c r="L154" s="18">
        <f t="shared" si="321"/>
        <v>9816.6666666666642</v>
      </c>
      <c r="M154" s="18">
        <f t="shared" si="321"/>
        <v>12750</v>
      </c>
      <c r="N154" s="18">
        <f t="shared" si="321"/>
        <v>8158.3333333333312</v>
      </c>
      <c r="O154" s="18">
        <f t="shared" si="321"/>
        <v>10160</v>
      </c>
      <c r="P154" s="18">
        <f t="shared" si="321"/>
        <v>14133.333333333336</v>
      </c>
      <c r="Q154" s="18">
        <f t="shared" si="321"/>
        <v>13833.333333333336</v>
      </c>
      <c r="R154" s="18">
        <f t="shared" si="321"/>
        <v>20200</v>
      </c>
      <c r="S154" s="18">
        <f t="shared" si="321"/>
        <v>11750</v>
      </c>
      <c r="T154" s="18">
        <f t="shared" si="321"/>
        <v>14275</v>
      </c>
      <c r="U154" s="18">
        <f t="shared" si="321"/>
        <v>16664.266666666666</v>
      </c>
      <c r="V154" s="18">
        <f t="shared" si="321"/>
        <v>19836</v>
      </c>
      <c r="W154" s="18">
        <f t="shared" si="321"/>
        <v>24905.199999999997</v>
      </c>
      <c r="X154" s="18">
        <f t="shared" si="321"/>
        <v>30609.000000000004</v>
      </c>
      <c r="Y154" s="18">
        <f t="shared" si="321"/>
        <v>34183.333333333343</v>
      </c>
      <c r="Z154" s="18">
        <f t="shared" si="322"/>
        <v>26040</v>
      </c>
      <c r="AA154" s="18">
        <f t="shared" si="322"/>
        <v>33480</v>
      </c>
      <c r="AB154" s="18">
        <f t="shared" si="322"/>
        <v>41140</v>
      </c>
      <c r="AC154" s="18">
        <f t="shared" si="323"/>
        <v>9033.3333333333358</v>
      </c>
      <c r="AD154" s="18">
        <f t="shared" si="323"/>
        <v>11116.666666666664</v>
      </c>
      <c r="AE154" s="18">
        <f t="shared" si="323"/>
        <v>13600</v>
      </c>
      <c r="AF154" s="18">
        <f t="shared" si="323"/>
        <v>18000</v>
      </c>
      <c r="AG154" s="18">
        <f t="shared" si="323"/>
        <v>20300</v>
      </c>
      <c r="AH154" s="18">
        <f t="shared" ref="AH154:AK154" si="328">AH153+(AH$174-AH$150)/24</f>
        <v>11400</v>
      </c>
      <c r="AI154" s="18">
        <f t="shared" si="328"/>
        <v>13300</v>
      </c>
      <c r="AJ154" s="18">
        <f t="shared" si="328"/>
        <v>18416.666666666672</v>
      </c>
      <c r="AK154" s="18">
        <f t="shared" si="328"/>
        <v>21333.333333333328</v>
      </c>
      <c r="AL154" s="18">
        <f t="shared" si="323"/>
        <v>22000</v>
      </c>
      <c r="AM154" s="18">
        <f t="shared" si="323"/>
        <v>25000</v>
      </c>
      <c r="AN154" s="18">
        <f t="shared" si="323"/>
        <v>28600</v>
      </c>
      <c r="AO154" s="18">
        <f t="shared" si="323"/>
        <v>45000</v>
      </c>
      <c r="AP154" s="18">
        <f t="shared" si="323"/>
        <v>48000</v>
      </c>
      <c r="AQ154" s="18">
        <f t="shared" si="323"/>
        <v>54000</v>
      </c>
      <c r="AR154" s="18">
        <f t="shared" si="323"/>
        <v>147200</v>
      </c>
      <c r="AS154" s="18">
        <f t="shared" si="275"/>
        <v>34565.217391304344</v>
      </c>
      <c r="AT154" s="184" t="str">
        <f t="shared" si="280"/>
        <v/>
      </c>
      <c r="AU154" s="184" t="str">
        <f t="shared" si="281"/>
        <v/>
      </c>
      <c r="AV154" s="184" t="str">
        <f t="shared" si="282"/>
        <v/>
      </c>
      <c r="AW154" s="184" t="str">
        <f t="shared" si="283"/>
        <v/>
      </c>
      <c r="AX154" s="184" t="str">
        <f t="shared" si="284"/>
        <v/>
      </c>
      <c r="AY154" s="184" t="str">
        <f t="shared" si="285"/>
        <v/>
      </c>
      <c r="AZ154" s="184" t="str">
        <f t="shared" si="286"/>
        <v/>
      </c>
      <c r="BA154" s="184" t="str">
        <f t="shared" si="287"/>
        <v/>
      </c>
      <c r="BB154" s="184" t="str">
        <f t="shared" si="288"/>
        <v/>
      </c>
      <c r="BC154" s="184" t="str">
        <f t="shared" si="289"/>
        <v/>
      </c>
      <c r="BD154" s="184" t="str">
        <f t="shared" si="290"/>
        <v/>
      </c>
      <c r="BE154" s="184" t="str">
        <f t="shared" si="291"/>
        <v/>
      </c>
      <c r="BF154" s="184" t="str">
        <f t="shared" si="292"/>
        <v/>
      </c>
      <c r="BG154" s="184" t="str">
        <f t="shared" si="293"/>
        <v/>
      </c>
      <c r="BH154" s="184" t="str">
        <f t="shared" si="294"/>
        <v/>
      </c>
      <c r="BI154" s="184" t="str">
        <f t="shared" si="295"/>
        <v/>
      </c>
      <c r="BJ154" s="184" t="str">
        <f t="shared" si="296"/>
        <v/>
      </c>
      <c r="BK154" s="184" t="str">
        <f t="shared" si="297"/>
        <v/>
      </c>
      <c r="BL154" s="184" t="str">
        <f t="shared" si="298"/>
        <v/>
      </c>
      <c r="BM154" s="184" t="str">
        <f t="shared" si="299"/>
        <v/>
      </c>
      <c r="BN154" s="184" t="str">
        <f t="shared" si="300"/>
        <v/>
      </c>
      <c r="BO154" s="184" t="str">
        <f t="shared" si="301"/>
        <v/>
      </c>
      <c r="BP154" s="184" t="str">
        <f t="shared" si="302"/>
        <v/>
      </c>
      <c r="BQ154" s="184" t="str">
        <f t="shared" si="303"/>
        <v/>
      </c>
      <c r="BR154" s="184" t="str">
        <f t="shared" si="304"/>
        <v/>
      </c>
      <c r="BS154" s="184" t="str">
        <f t="shared" si="304"/>
        <v/>
      </c>
      <c r="BT154" s="184" t="str">
        <f t="shared" si="304"/>
        <v/>
      </c>
      <c r="BU154" s="184" t="str">
        <f t="shared" si="305"/>
        <v/>
      </c>
      <c r="BV154" s="184" t="str">
        <f t="shared" si="306"/>
        <v/>
      </c>
      <c r="BW154" s="184" t="str">
        <f t="shared" si="307"/>
        <v/>
      </c>
      <c r="BX154" s="184" t="str">
        <f t="shared" si="308"/>
        <v/>
      </c>
      <c r="BY154" s="184" t="str">
        <f t="shared" si="309"/>
        <v/>
      </c>
      <c r="BZ154" s="184" t="str">
        <f t="shared" si="310"/>
        <v/>
      </c>
      <c r="CA154" s="184" t="str">
        <f t="shared" si="311"/>
        <v/>
      </c>
      <c r="CB154" s="184" t="str">
        <f t="shared" si="312"/>
        <v/>
      </c>
      <c r="CC154" s="184" t="str">
        <f t="shared" si="313"/>
        <v/>
      </c>
      <c r="CD154" s="184" t="str">
        <f t="shared" si="314"/>
        <v/>
      </c>
      <c r="CE154" s="184" t="str">
        <f t="shared" si="315"/>
        <v/>
      </c>
      <c r="CF154" s="184" t="str">
        <f t="shared" si="316"/>
        <v/>
      </c>
      <c r="CG154" s="184" t="str">
        <f t="shared" si="317"/>
        <v/>
      </c>
      <c r="CH154" s="184" t="str">
        <f t="shared" si="318"/>
        <v/>
      </c>
      <c r="CI154" s="184" t="str">
        <f t="shared" si="319"/>
        <v/>
      </c>
      <c r="CJ154" s="184" t="str">
        <f t="shared" si="320"/>
        <v/>
      </c>
      <c r="CK154" s="184"/>
      <c r="CM154" s="184"/>
      <c r="CN154"/>
      <c r="CP154"/>
      <c r="CR154"/>
      <c r="CT154"/>
      <c r="CV154"/>
      <c r="CX154"/>
      <c r="CZ154"/>
      <c r="DB154"/>
      <c r="DD154"/>
      <c r="DF154"/>
      <c r="ED154" s="184"/>
      <c r="EF154" s="184"/>
      <c r="EH154" s="184"/>
      <c r="EJ154" s="184"/>
      <c r="EL154" s="184"/>
      <c r="EN154" s="184"/>
      <c r="EP154" s="184"/>
      <c r="ER154" s="184"/>
      <c r="ET154" s="184"/>
      <c r="EV154" s="184"/>
      <c r="EX154" s="184"/>
      <c r="EZ154" s="184"/>
      <c r="FB154" s="184"/>
    </row>
    <row r="155" spans="1:158">
      <c r="A155" s="184">
        <f t="shared" si="276"/>
        <v>7.5</v>
      </c>
      <c r="B155" s="18">
        <f t="shared" si="325"/>
        <v>5195.8333333333348</v>
      </c>
      <c r="C155" s="18">
        <f t="shared" si="321"/>
        <v>6625</v>
      </c>
      <c r="D155" s="18">
        <f t="shared" si="321"/>
        <v>8733.3333333333321</v>
      </c>
      <c r="E155" s="18">
        <f t="shared" si="321"/>
        <v>10250</v>
      </c>
      <c r="F155" s="18">
        <f t="shared" si="321"/>
        <v>5091.6666666666652</v>
      </c>
      <c r="G155" s="18">
        <f t="shared" si="321"/>
        <v>6479.1666666666652</v>
      </c>
      <c r="H155" s="18">
        <f t="shared" si="321"/>
        <v>8754.1666666666679</v>
      </c>
      <c r="I155" s="18">
        <f t="shared" si="321"/>
        <v>5175</v>
      </c>
      <c r="J155" s="18">
        <f t="shared" si="321"/>
        <v>6820.8333333333348</v>
      </c>
      <c r="K155" s="18">
        <f t="shared" si="321"/>
        <v>8608.3333333333321</v>
      </c>
      <c r="L155" s="18">
        <f t="shared" si="321"/>
        <v>9995.8333333333303</v>
      </c>
      <c r="M155" s="18">
        <f t="shared" si="321"/>
        <v>12912.5</v>
      </c>
      <c r="N155" s="18">
        <f t="shared" si="321"/>
        <v>8290.4166666666642</v>
      </c>
      <c r="O155" s="18">
        <f t="shared" si="321"/>
        <v>10252</v>
      </c>
      <c r="P155" s="18">
        <f t="shared" si="321"/>
        <v>14246.66666666667</v>
      </c>
      <c r="Q155" s="18">
        <f t="shared" si="321"/>
        <v>14051.66666666667</v>
      </c>
      <c r="R155" s="18">
        <f t="shared" si="321"/>
        <v>20420</v>
      </c>
      <c r="S155" s="18">
        <f t="shared" si="321"/>
        <v>11937.5</v>
      </c>
      <c r="T155" s="18">
        <f t="shared" si="321"/>
        <v>14468.75</v>
      </c>
      <c r="U155" s="18">
        <f t="shared" si="321"/>
        <v>16897.833333333332</v>
      </c>
      <c r="V155" s="18">
        <f t="shared" si="321"/>
        <v>20115</v>
      </c>
      <c r="W155" s="18">
        <f t="shared" si="321"/>
        <v>25255.499999999996</v>
      </c>
      <c r="X155" s="18">
        <f t="shared" si="321"/>
        <v>30701.250000000004</v>
      </c>
      <c r="Y155" s="18">
        <f t="shared" si="321"/>
        <v>34624.166666666679</v>
      </c>
      <c r="Z155" s="18">
        <f t="shared" si="322"/>
        <v>26250</v>
      </c>
      <c r="AA155" s="18">
        <f t="shared" si="322"/>
        <v>33750</v>
      </c>
      <c r="AB155" s="18">
        <f t="shared" si="322"/>
        <v>41525</v>
      </c>
      <c r="AC155" s="18">
        <f t="shared" si="323"/>
        <v>9116.6666666666697</v>
      </c>
      <c r="AD155" s="18">
        <f t="shared" si="323"/>
        <v>11170.83333333333</v>
      </c>
      <c r="AE155" s="18">
        <f t="shared" si="323"/>
        <v>13600</v>
      </c>
      <c r="AF155" s="18">
        <f t="shared" si="323"/>
        <v>18000</v>
      </c>
      <c r="AG155" s="18">
        <f t="shared" si="323"/>
        <v>20300</v>
      </c>
      <c r="AH155" s="18">
        <f t="shared" ref="AH155:AK155" si="329">AH154+(AH$174-AH$150)/24</f>
        <v>11500</v>
      </c>
      <c r="AI155" s="18">
        <f t="shared" si="329"/>
        <v>13375</v>
      </c>
      <c r="AJ155" s="18">
        <f t="shared" si="329"/>
        <v>18520.833333333339</v>
      </c>
      <c r="AK155" s="18">
        <f t="shared" si="329"/>
        <v>21416.666666666661</v>
      </c>
      <c r="AL155" s="18">
        <f t="shared" si="323"/>
        <v>22000</v>
      </c>
      <c r="AM155" s="18">
        <f t="shared" si="323"/>
        <v>25000</v>
      </c>
      <c r="AN155" s="18">
        <f t="shared" si="323"/>
        <v>28600</v>
      </c>
      <c r="AO155" s="18">
        <f t="shared" si="323"/>
        <v>45000</v>
      </c>
      <c r="AP155" s="18">
        <f t="shared" si="323"/>
        <v>48000</v>
      </c>
      <c r="AQ155" s="18">
        <f t="shared" si="323"/>
        <v>54000</v>
      </c>
      <c r="AR155" s="18">
        <f t="shared" si="323"/>
        <v>147200</v>
      </c>
      <c r="AS155" s="18">
        <f t="shared" si="275"/>
        <v>34239.130434782608</v>
      </c>
      <c r="AT155" s="184" t="str">
        <f t="shared" si="280"/>
        <v/>
      </c>
      <c r="AU155" s="184" t="str">
        <f t="shared" si="281"/>
        <v/>
      </c>
      <c r="AV155" s="184" t="str">
        <f t="shared" si="282"/>
        <v/>
      </c>
      <c r="AW155" s="184" t="str">
        <f t="shared" si="283"/>
        <v/>
      </c>
      <c r="AX155" s="184" t="str">
        <f t="shared" si="284"/>
        <v/>
      </c>
      <c r="AY155" s="184" t="str">
        <f t="shared" si="285"/>
        <v/>
      </c>
      <c r="AZ155" s="184" t="str">
        <f t="shared" si="286"/>
        <v/>
      </c>
      <c r="BA155" s="184" t="str">
        <f t="shared" si="287"/>
        <v/>
      </c>
      <c r="BB155" s="184" t="str">
        <f t="shared" si="288"/>
        <v/>
      </c>
      <c r="BC155" s="184" t="str">
        <f t="shared" si="289"/>
        <v/>
      </c>
      <c r="BD155" s="184" t="str">
        <f t="shared" si="290"/>
        <v/>
      </c>
      <c r="BE155" s="184" t="str">
        <f t="shared" si="291"/>
        <v/>
      </c>
      <c r="BF155" s="184" t="str">
        <f t="shared" si="292"/>
        <v/>
      </c>
      <c r="BG155" s="184" t="str">
        <f t="shared" si="293"/>
        <v/>
      </c>
      <c r="BH155" s="184" t="str">
        <f t="shared" si="294"/>
        <v/>
      </c>
      <c r="BI155" s="184" t="str">
        <f t="shared" si="295"/>
        <v/>
      </c>
      <c r="BJ155" s="184" t="str">
        <f t="shared" si="296"/>
        <v/>
      </c>
      <c r="BK155" s="184" t="str">
        <f t="shared" si="297"/>
        <v/>
      </c>
      <c r="BL155" s="184" t="str">
        <f t="shared" si="298"/>
        <v/>
      </c>
      <c r="BM155" s="184" t="str">
        <f t="shared" si="299"/>
        <v/>
      </c>
      <c r="BN155" s="184" t="str">
        <f t="shared" si="300"/>
        <v/>
      </c>
      <c r="BO155" s="184" t="str">
        <f t="shared" si="301"/>
        <v/>
      </c>
      <c r="BP155" s="184" t="str">
        <f t="shared" si="302"/>
        <v/>
      </c>
      <c r="BQ155" s="184">
        <f t="shared" si="303"/>
        <v>1</v>
      </c>
      <c r="BR155" s="184" t="str">
        <f t="shared" si="304"/>
        <v/>
      </c>
      <c r="BS155" s="184" t="str">
        <f t="shared" si="304"/>
        <v/>
      </c>
      <c r="BT155" s="184" t="str">
        <f t="shared" si="304"/>
        <v/>
      </c>
      <c r="BU155" s="184" t="str">
        <f t="shared" si="305"/>
        <v/>
      </c>
      <c r="BV155" s="184" t="str">
        <f t="shared" si="306"/>
        <v/>
      </c>
      <c r="BW155" s="184" t="str">
        <f t="shared" si="307"/>
        <v/>
      </c>
      <c r="BX155" s="184" t="str">
        <f t="shared" si="308"/>
        <v/>
      </c>
      <c r="BY155" s="184" t="str">
        <f t="shared" si="309"/>
        <v/>
      </c>
      <c r="BZ155" s="184" t="str">
        <f t="shared" si="310"/>
        <v/>
      </c>
      <c r="CA155" s="184" t="str">
        <f t="shared" si="311"/>
        <v/>
      </c>
      <c r="CB155" s="184" t="str">
        <f t="shared" si="312"/>
        <v/>
      </c>
      <c r="CC155" s="184" t="str">
        <f t="shared" si="313"/>
        <v/>
      </c>
      <c r="CD155" s="184" t="str">
        <f t="shared" si="314"/>
        <v/>
      </c>
      <c r="CE155" s="184" t="str">
        <f t="shared" si="315"/>
        <v/>
      </c>
      <c r="CF155" s="184" t="str">
        <f t="shared" si="316"/>
        <v/>
      </c>
      <c r="CG155" s="184" t="str">
        <f t="shared" si="317"/>
        <v/>
      </c>
      <c r="CH155" s="184" t="str">
        <f t="shared" si="318"/>
        <v/>
      </c>
      <c r="CI155" s="184" t="str">
        <f t="shared" si="319"/>
        <v/>
      </c>
      <c r="CJ155" s="184" t="str">
        <f t="shared" si="320"/>
        <v/>
      </c>
      <c r="CK155" s="184"/>
      <c r="CM155" s="184"/>
      <c r="CN155"/>
      <c r="CP155"/>
      <c r="CR155"/>
      <c r="CT155"/>
      <c r="CV155"/>
      <c r="CX155"/>
      <c r="CZ155"/>
      <c r="DB155"/>
      <c r="DD155"/>
      <c r="DF155"/>
      <c r="ED155" s="184"/>
      <c r="EF155" s="184"/>
      <c r="EH155" s="184"/>
      <c r="EJ155" s="184"/>
      <c r="EL155" s="184"/>
      <c r="EN155" s="184"/>
      <c r="EP155" s="184"/>
      <c r="ER155" s="184"/>
      <c r="ET155" s="184"/>
      <c r="EV155" s="184"/>
      <c r="EX155" s="184"/>
      <c r="EZ155" s="184"/>
      <c r="FB155" s="184"/>
    </row>
    <row r="156" spans="1:158">
      <c r="A156" s="184">
        <f t="shared" si="276"/>
        <v>8</v>
      </c>
      <c r="B156" s="18">
        <f t="shared" si="325"/>
        <v>5275.0000000000018</v>
      </c>
      <c r="C156" s="18">
        <f t="shared" si="321"/>
        <v>6750</v>
      </c>
      <c r="D156" s="18">
        <f t="shared" si="321"/>
        <v>8899.9999999999982</v>
      </c>
      <c r="E156" s="18">
        <f t="shared" si="321"/>
        <v>10400</v>
      </c>
      <c r="F156" s="18">
        <f t="shared" si="321"/>
        <v>5149.9999999999982</v>
      </c>
      <c r="G156" s="18">
        <f t="shared" si="321"/>
        <v>6574.9999999999982</v>
      </c>
      <c r="H156" s="18">
        <f t="shared" si="321"/>
        <v>8925.0000000000018</v>
      </c>
      <c r="I156" s="18">
        <f t="shared" si="321"/>
        <v>5250</v>
      </c>
      <c r="J156" s="18">
        <f t="shared" si="321"/>
        <v>6925.0000000000018</v>
      </c>
      <c r="K156" s="18">
        <f t="shared" si="321"/>
        <v>8749.9999999999982</v>
      </c>
      <c r="L156" s="18">
        <f t="shared" si="321"/>
        <v>10174.999999999996</v>
      </c>
      <c r="M156" s="18">
        <f t="shared" si="321"/>
        <v>13075</v>
      </c>
      <c r="N156" s="18">
        <f t="shared" si="321"/>
        <v>8422.4999999999982</v>
      </c>
      <c r="O156" s="18">
        <f t="shared" si="321"/>
        <v>10344</v>
      </c>
      <c r="P156" s="18">
        <f t="shared" si="321"/>
        <v>14360.000000000004</v>
      </c>
      <c r="Q156" s="18">
        <f t="shared" si="321"/>
        <v>14270.000000000004</v>
      </c>
      <c r="R156" s="18">
        <f t="shared" si="321"/>
        <v>20640</v>
      </c>
      <c r="S156" s="18">
        <f t="shared" si="321"/>
        <v>12125</v>
      </c>
      <c r="T156" s="18">
        <f t="shared" si="321"/>
        <v>14662.5</v>
      </c>
      <c r="U156" s="18">
        <f t="shared" si="321"/>
        <v>17131.399999999998</v>
      </c>
      <c r="V156" s="18">
        <f t="shared" si="321"/>
        <v>20394</v>
      </c>
      <c r="W156" s="18">
        <f t="shared" si="321"/>
        <v>25605.799999999996</v>
      </c>
      <c r="X156" s="18">
        <f t="shared" si="321"/>
        <v>30793.500000000004</v>
      </c>
      <c r="Y156" s="18">
        <f t="shared" si="321"/>
        <v>35065.000000000015</v>
      </c>
      <c r="Z156" s="18">
        <f t="shared" si="322"/>
        <v>26460</v>
      </c>
      <c r="AA156" s="18">
        <f t="shared" si="322"/>
        <v>34020</v>
      </c>
      <c r="AB156" s="18">
        <f t="shared" si="322"/>
        <v>41910</v>
      </c>
      <c r="AC156" s="18">
        <f t="shared" si="323"/>
        <v>9200.0000000000036</v>
      </c>
      <c r="AD156" s="18">
        <f t="shared" si="323"/>
        <v>11224.999999999996</v>
      </c>
      <c r="AE156" s="18">
        <f t="shared" si="323"/>
        <v>13600</v>
      </c>
      <c r="AF156" s="18">
        <f t="shared" si="323"/>
        <v>18000</v>
      </c>
      <c r="AG156" s="18">
        <f t="shared" si="323"/>
        <v>20300</v>
      </c>
      <c r="AH156" s="18">
        <f t="shared" ref="AH156:AK156" si="330">AH155+(AH$174-AH$150)/24</f>
        <v>11600</v>
      </c>
      <c r="AI156" s="18">
        <f t="shared" si="330"/>
        <v>13450</v>
      </c>
      <c r="AJ156" s="18">
        <f t="shared" si="330"/>
        <v>18625.000000000007</v>
      </c>
      <c r="AK156" s="18">
        <f t="shared" si="330"/>
        <v>21499.999999999993</v>
      </c>
      <c r="AL156" s="18">
        <f t="shared" si="323"/>
        <v>22000</v>
      </c>
      <c r="AM156" s="18">
        <f t="shared" si="323"/>
        <v>25000</v>
      </c>
      <c r="AN156" s="18">
        <f t="shared" si="323"/>
        <v>28600</v>
      </c>
      <c r="AO156" s="18">
        <f t="shared" si="323"/>
        <v>45000</v>
      </c>
      <c r="AP156" s="18">
        <f t="shared" si="323"/>
        <v>48000</v>
      </c>
      <c r="AQ156" s="18">
        <f t="shared" si="323"/>
        <v>54000</v>
      </c>
      <c r="AR156" s="18">
        <f t="shared" si="323"/>
        <v>147200</v>
      </c>
      <c r="AS156" s="18">
        <f t="shared" si="275"/>
        <v>33913.043478260872</v>
      </c>
      <c r="AT156" s="184" t="str">
        <f t="shared" si="280"/>
        <v/>
      </c>
      <c r="AU156" s="184" t="str">
        <f t="shared" si="281"/>
        <v/>
      </c>
      <c r="AV156" s="184" t="str">
        <f t="shared" si="282"/>
        <v/>
      </c>
      <c r="AW156" s="184" t="str">
        <f t="shared" si="283"/>
        <v/>
      </c>
      <c r="AX156" s="184" t="str">
        <f t="shared" si="284"/>
        <v/>
      </c>
      <c r="AY156" s="184" t="str">
        <f t="shared" si="285"/>
        <v/>
      </c>
      <c r="AZ156" s="184" t="str">
        <f t="shared" si="286"/>
        <v/>
      </c>
      <c r="BA156" s="184" t="str">
        <f t="shared" si="287"/>
        <v/>
      </c>
      <c r="BB156" s="184" t="str">
        <f t="shared" si="288"/>
        <v/>
      </c>
      <c r="BC156" s="184" t="str">
        <f t="shared" si="289"/>
        <v/>
      </c>
      <c r="BD156" s="184" t="str">
        <f t="shared" si="290"/>
        <v/>
      </c>
      <c r="BE156" s="184" t="str">
        <f t="shared" si="291"/>
        <v/>
      </c>
      <c r="BF156" s="184" t="str">
        <f t="shared" si="292"/>
        <v/>
      </c>
      <c r="BG156" s="184" t="str">
        <f t="shared" si="293"/>
        <v/>
      </c>
      <c r="BH156" s="184" t="str">
        <f t="shared" si="294"/>
        <v/>
      </c>
      <c r="BI156" s="184" t="str">
        <f t="shared" si="295"/>
        <v/>
      </c>
      <c r="BJ156" s="184" t="str">
        <f t="shared" si="296"/>
        <v/>
      </c>
      <c r="BK156" s="184" t="str">
        <f t="shared" si="297"/>
        <v/>
      </c>
      <c r="BL156" s="184" t="str">
        <f t="shared" si="298"/>
        <v/>
      </c>
      <c r="BM156" s="184" t="str">
        <f t="shared" si="299"/>
        <v/>
      </c>
      <c r="BN156" s="184" t="str">
        <f t="shared" si="300"/>
        <v/>
      </c>
      <c r="BO156" s="184" t="str">
        <f t="shared" si="301"/>
        <v/>
      </c>
      <c r="BP156" s="184" t="str">
        <f t="shared" si="302"/>
        <v/>
      </c>
      <c r="BQ156" s="184" t="str">
        <f t="shared" si="303"/>
        <v/>
      </c>
      <c r="BR156" s="184" t="str">
        <f t="shared" si="304"/>
        <v/>
      </c>
      <c r="BS156" s="184">
        <f t="shared" si="304"/>
        <v>1</v>
      </c>
      <c r="BT156" s="184" t="str">
        <f t="shared" si="304"/>
        <v/>
      </c>
      <c r="BU156" s="184" t="str">
        <f t="shared" si="305"/>
        <v/>
      </c>
      <c r="BV156" s="184" t="str">
        <f t="shared" si="306"/>
        <v/>
      </c>
      <c r="BW156" s="184" t="str">
        <f t="shared" si="307"/>
        <v/>
      </c>
      <c r="BX156" s="184" t="str">
        <f t="shared" si="308"/>
        <v/>
      </c>
      <c r="BY156" s="184" t="str">
        <f t="shared" si="309"/>
        <v/>
      </c>
      <c r="BZ156" s="184" t="str">
        <f t="shared" si="310"/>
        <v/>
      </c>
      <c r="CA156" s="184" t="str">
        <f t="shared" si="311"/>
        <v/>
      </c>
      <c r="CB156" s="184" t="str">
        <f t="shared" si="312"/>
        <v/>
      </c>
      <c r="CC156" s="184" t="str">
        <f t="shared" si="313"/>
        <v/>
      </c>
      <c r="CD156" s="184" t="str">
        <f t="shared" si="314"/>
        <v/>
      </c>
      <c r="CE156" s="184" t="str">
        <f t="shared" si="315"/>
        <v/>
      </c>
      <c r="CF156" s="184" t="str">
        <f t="shared" si="316"/>
        <v/>
      </c>
      <c r="CG156" s="184" t="str">
        <f t="shared" si="317"/>
        <v/>
      </c>
      <c r="CH156" s="184" t="str">
        <f t="shared" si="318"/>
        <v/>
      </c>
      <c r="CI156" s="184" t="str">
        <f t="shared" si="319"/>
        <v/>
      </c>
      <c r="CJ156" s="184" t="str">
        <f t="shared" si="320"/>
        <v/>
      </c>
      <c r="CK156" s="184"/>
      <c r="CM156" s="184"/>
      <c r="CN156"/>
      <c r="CP156"/>
      <c r="CR156"/>
      <c r="CT156"/>
      <c r="CV156"/>
      <c r="CX156"/>
      <c r="CZ156"/>
      <c r="DB156"/>
      <c r="DD156"/>
      <c r="DF156"/>
      <c r="ED156" s="184"/>
      <c r="EF156" s="184"/>
      <c r="EH156" s="184"/>
      <c r="EJ156" s="184"/>
      <c r="EL156" s="184"/>
      <c r="EN156" s="184"/>
      <c r="EP156" s="184"/>
      <c r="ER156" s="184"/>
      <c r="ET156" s="184"/>
      <c r="EV156" s="184"/>
      <c r="EX156" s="184"/>
      <c r="EZ156" s="184"/>
      <c r="FB156" s="184"/>
    </row>
    <row r="157" spans="1:158">
      <c r="A157" s="184">
        <f t="shared" si="276"/>
        <v>8.5</v>
      </c>
      <c r="B157" s="18">
        <f t="shared" si="325"/>
        <v>5354.1666666666688</v>
      </c>
      <c r="C157" s="18">
        <f t="shared" si="321"/>
        <v>6875</v>
      </c>
      <c r="D157" s="18">
        <f t="shared" si="321"/>
        <v>9066.6666666666642</v>
      </c>
      <c r="E157" s="18">
        <f t="shared" si="321"/>
        <v>10550</v>
      </c>
      <c r="F157" s="18">
        <f t="shared" si="321"/>
        <v>5208.3333333333312</v>
      </c>
      <c r="G157" s="18">
        <f t="shared" si="321"/>
        <v>6670.8333333333312</v>
      </c>
      <c r="H157" s="18">
        <f t="shared" si="321"/>
        <v>9095.8333333333358</v>
      </c>
      <c r="I157" s="18">
        <f t="shared" si="321"/>
        <v>5325</v>
      </c>
      <c r="J157" s="18">
        <f t="shared" si="321"/>
        <v>7029.1666666666688</v>
      </c>
      <c r="K157" s="18">
        <f t="shared" si="321"/>
        <v>8891.6666666666642</v>
      </c>
      <c r="L157" s="18">
        <f t="shared" si="321"/>
        <v>10354.166666666662</v>
      </c>
      <c r="M157" s="18">
        <f t="shared" si="321"/>
        <v>13237.5</v>
      </c>
      <c r="N157" s="18">
        <f t="shared" si="321"/>
        <v>8554.5833333333321</v>
      </c>
      <c r="O157" s="18">
        <f t="shared" si="321"/>
        <v>10436</v>
      </c>
      <c r="P157" s="18">
        <f t="shared" si="321"/>
        <v>14473.333333333338</v>
      </c>
      <c r="Q157" s="18">
        <f t="shared" si="321"/>
        <v>14488.333333333338</v>
      </c>
      <c r="R157" s="18">
        <f t="shared" si="321"/>
        <v>20860</v>
      </c>
      <c r="S157" s="18">
        <f t="shared" si="321"/>
        <v>12312.5</v>
      </c>
      <c r="T157" s="18">
        <f t="shared" si="321"/>
        <v>14856.25</v>
      </c>
      <c r="U157" s="18">
        <f t="shared" si="321"/>
        <v>17364.966666666664</v>
      </c>
      <c r="V157" s="18">
        <f t="shared" si="321"/>
        <v>20673</v>
      </c>
      <c r="W157" s="18">
        <f t="shared" si="321"/>
        <v>25956.099999999995</v>
      </c>
      <c r="X157" s="18">
        <f t="shared" si="321"/>
        <v>30885.750000000004</v>
      </c>
      <c r="Y157" s="18">
        <f t="shared" si="321"/>
        <v>35505.83333333335</v>
      </c>
      <c r="Z157" s="18">
        <f t="shared" si="322"/>
        <v>26670</v>
      </c>
      <c r="AA157" s="18">
        <f t="shared" si="322"/>
        <v>34290</v>
      </c>
      <c r="AB157" s="18">
        <f t="shared" si="322"/>
        <v>42295</v>
      </c>
      <c r="AC157" s="18">
        <f t="shared" si="323"/>
        <v>9283.3333333333376</v>
      </c>
      <c r="AD157" s="18">
        <f t="shared" si="323"/>
        <v>11279.166666666662</v>
      </c>
      <c r="AE157" s="18">
        <f t="shared" si="323"/>
        <v>13600</v>
      </c>
      <c r="AF157" s="18">
        <f t="shared" si="323"/>
        <v>18000</v>
      </c>
      <c r="AG157" s="18">
        <f t="shared" si="323"/>
        <v>20300</v>
      </c>
      <c r="AH157" s="18">
        <f t="shared" ref="AH157:AK157" si="331">AH156+(AH$174-AH$150)/24</f>
        <v>11700</v>
      </c>
      <c r="AI157" s="18">
        <f t="shared" si="331"/>
        <v>13525</v>
      </c>
      <c r="AJ157" s="18">
        <f t="shared" si="331"/>
        <v>18729.166666666675</v>
      </c>
      <c r="AK157" s="18">
        <f t="shared" si="331"/>
        <v>21583.333333333325</v>
      </c>
      <c r="AL157" s="18">
        <f t="shared" si="323"/>
        <v>22000</v>
      </c>
      <c r="AM157" s="18">
        <f t="shared" si="323"/>
        <v>25000</v>
      </c>
      <c r="AN157" s="18">
        <f t="shared" si="323"/>
        <v>28600</v>
      </c>
      <c r="AO157" s="18">
        <f t="shared" si="323"/>
        <v>45000</v>
      </c>
      <c r="AP157" s="18">
        <f t="shared" si="323"/>
        <v>48000</v>
      </c>
      <c r="AQ157" s="18">
        <f t="shared" si="323"/>
        <v>54000</v>
      </c>
      <c r="AR157" s="18">
        <f t="shared" si="323"/>
        <v>147200</v>
      </c>
      <c r="AS157" s="18">
        <f t="shared" si="275"/>
        <v>33586.956521739128</v>
      </c>
      <c r="AT157" s="184" t="str">
        <f t="shared" si="280"/>
        <v/>
      </c>
      <c r="AU157" s="184" t="str">
        <f t="shared" si="281"/>
        <v/>
      </c>
      <c r="AV157" s="184" t="str">
        <f t="shared" si="282"/>
        <v/>
      </c>
      <c r="AW157" s="184" t="str">
        <f t="shared" si="283"/>
        <v/>
      </c>
      <c r="AX157" s="184" t="str">
        <f t="shared" si="284"/>
        <v/>
      </c>
      <c r="AY157" s="184" t="str">
        <f t="shared" si="285"/>
        <v/>
      </c>
      <c r="AZ157" s="184" t="str">
        <f t="shared" si="286"/>
        <v/>
      </c>
      <c r="BA157" s="184" t="str">
        <f t="shared" si="287"/>
        <v/>
      </c>
      <c r="BB157" s="184" t="str">
        <f t="shared" si="288"/>
        <v/>
      </c>
      <c r="BC157" s="184" t="str">
        <f t="shared" si="289"/>
        <v/>
      </c>
      <c r="BD157" s="184" t="str">
        <f t="shared" si="290"/>
        <v/>
      </c>
      <c r="BE157" s="184" t="str">
        <f t="shared" si="291"/>
        <v/>
      </c>
      <c r="BF157" s="184" t="str">
        <f t="shared" si="292"/>
        <v/>
      </c>
      <c r="BG157" s="184" t="str">
        <f t="shared" si="293"/>
        <v/>
      </c>
      <c r="BH157" s="184" t="str">
        <f t="shared" si="294"/>
        <v/>
      </c>
      <c r="BI157" s="184" t="str">
        <f t="shared" si="295"/>
        <v/>
      </c>
      <c r="BJ157" s="184" t="str">
        <f t="shared" si="296"/>
        <v/>
      </c>
      <c r="BK157" s="184" t="str">
        <f t="shared" si="297"/>
        <v/>
      </c>
      <c r="BL157" s="184" t="str">
        <f t="shared" si="298"/>
        <v/>
      </c>
      <c r="BM157" s="184" t="str">
        <f t="shared" si="299"/>
        <v/>
      </c>
      <c r="BN157" s="184" t="str">
        <f t="shared" si="300"/>
        <v/>
      </c>
      <c r="BO157" s="184" t="str">
        <f t="shared" si="301"/>
        <v/>
      </c>
      <c r="BP157" s="184" t="str">
        <f t="shared" si="302"/>
        <v/>
      </c>
      <c r="BQ157" s="184" t="str">
        <f t="shared" si="303"/>
        <v/>
      </c>
      <c r="BR157" s="184" t="str">
        <f t="shared" si="304"/>
        <v/>
      </c>
      <c r="BS157" s="184" t="str">
        <f t="shared" si="304"/>
        <v/>
      </c>
      <c r="BT157" s="184" t="str">
        <f>IF(AND(AB157&gt;=$AS157,AB156&lt;$AS156),1,"")</f>
        <v/>
      </c>
      <c r="BU157" s="184" t="str">
        <f t="shared" si="305"/>
        <v/>
      </c>
      <c r="BV157" s="184" t="str">
        <f t="shared" si="306"/>
        <v/>
      </c>
      <c r="BW157" s="184" t="str">
        <f t="shared" si="307"/>
        <v/>
      </c>
      <c r="BX157" s="184" t="str">
        <f t="shared" si="308"/>
        <v/>
      </c>
      <c r="BY157" s="184" t="str">
        <f t="shared" si="309"/>
        <v/>
      </c>
      <c r="BZ157" s="184" t="str">
        <f t="shared" si="310"/>
        <v/>
      </c>
      <c r="CA157" s="184" t="str">
        <f t="shared" si="311"/>
        <v/>
      </c>
      <c r="CB157" s="184" t="str">
        <f t="shared" si="312"/>
        <v/>
      </c>
      <c r="CC157" s="184" t="str">
        <f t="shared" si="313"/>
        <v/>
      </c>
      <c r="CD157" s="184" t="str">
        <f t="shared" si="314"/>
        <v/>
      </c>
      <c r="CE157" s="184" t="str">
        <f t="shared" si="315"/>
        <v/>
      </c>
      <c r="CF157" s="184" t="str">
        <f t="shared" si="316"/>
        <v/>
      </c>
      <c r="CG157" s="184" t="str">
        <f t="shared" si="317"/>
        <v/>
      </c>
      <c r="CH157" s="184" t="str">
        <f t="shared" si="318"/>
        <v/>
      </c>
      <c r="CI157" s="184" t="str">
        <f t="shared" si="319"/>
        <v/>
      </c>
      <c r="CJ157" s="184" t="str">
        <f t="shared" si="320"/>
        <v/>
      </c>
      <c r="CK157" s="184"/>
      <c r="CM157" s="184"/>
      <c r="CN157"/>
      <c r="CP157"/>
      <c r="CR157"/>
      <c r="CT157"/>
      <c r="CV157"/>
      <c r="CX157"/>
      <c r="CZ157"/>
      <c r="DB157"/>
      <c r="DD157"/>
      <c r="DF157"/>
      <c r="ED157" s="184"/>
      <c r="EF157" s="184"/>
      <c r="EH157" s="184"/>
      <c r="EJ157" s="184"/>
      <c r="EL157" s="184"/>
      <c r="EN157" s="184"/>
      <c r="EP157" s="184"/>
      <c r="ER157" s="184"/>
      <c r="ET157" s="184"/>
      <c r="EV157" s="184"/>
      <c r="EX157" s="184"/>
      <c r="EZ157" s="184"/>
      <c r="FB157" s="184"/>
    </row>
    <row r="158" spans="1:158">
      <c r="A158" s="184">
        <f t="shared" si="276"/>
        <v>9</v>
      </c>
      <c r="B158" s="18">
        <f t="shared" si="325"/>
        <v>5433.3333333333358</v>
      </c>
      <c r="C158" s="18">
        <f t="shared" si="321"/>
        <v>7000</v>
      </c>
      <c r="D158" s="18">
        <f t="shared" si="321"/>
        <v>9233.3333333333303</v>
      </c>
      <c r="E158" s="18">
        <f t="shared" si="321"/>
        <v>10700</v>
      </c>
      <c r="F158" s="18">
        <f t="shared" si="321"/>
        <v>5266.6666666666642</v>
      </c>
      <c r="G158" s="18">
        <f t="shared" si="321"/>
        <v>6766.6666666666642</v>
      </c>
      <c r="H158" s="18">
        <f t="shared" si="321"/>
        <v>9266.6666666666697</v>
      </c>
      <c r="I158" s="18">
        <f t="shared" si="321"/>
        <v>5400</v>
      </c>
      <c r="J158" s="18">
        <f t="shared" si="321"/>
        <v>7133.3333333333358</v>
      </c>
      <c r="K158" s="18">
        <f t="shared" si="321"/>
        <v>9033.3333333333303</v>
      </c>
      <c r="L158" s="18">
        <f t="shared" si="321"/>
        <v>10533.333333333328</v>
      </c>
      <c r="M158" s="18">
        <f t="shared" si="321"/>
        <v>13400</v>
      </c>
      <c r="N158" s="18">
        <f t="shared" si="321"/>
        <v>8686.6666666666661</v>
      </c>
      <c r="O158" s="18">
        <f t="shared" si="321"/>
        <v>10528</v>
      </c>
      <c r="P158" s="18">
        <f t="shared" si="321"/>
        <v>14586.666666666672</v>
      </c>
      <c r="Q158" s="18">
        <f t="shared" si="321"/>
        <v>14706.666666666672</v>
      </c>
      <c r="R158" s="18">
        <f t="shared" si="321"/>
        <v>21080</v>
      </c>
      <c r="S158" s="18">
        <f t="shared" si="321"/>
        <v>12500</v>
      </c>
      <c r="T158" s="18">
        <f t="shared" si="321"/>
        <v>15050</v>
      </c>
      <c r="U158" s="18">
        <f t="shared" si="321"/>
        <v>17598.533333333329</v>
      </c>
      <c r="V158" s="18">
        <f t="shared" si="321"/>
        <v>20952</v>
      </c>
      <c r="W158" s="18">
        <f t="shared" si="321"/>
        <v>26306.399999999994</v>
      </c>
      <c r="X158" s="18">
        <f t="shared" si="321"/>
        <v>30978.000000000004</v>
      </c>
      <c r="Y158" s="18">
        <f t="shared" si="321"/>
        <v>35946.666666666686</v>
      </c>
      <c r="Z158" s="18">
        <f t="shared" si="322"/>
        <v>26880</v>
      </c>
      <c r="AA158" s="18">
        <f t="shared" si="322"/>
        <v>34560</v>
      </c>
      <c r="AB158" s="18">
        <f t="shared" si="322"/>
        <v>42680</v>
      </c>
      <c r="AC158" s="18">
        <f t="shared" si="323"/>
        <v>9366.6666666666715</v>
      </c>
      <c r="AD158" s="18">
        <f t="shared" si="323"/>
        <v>11333.333333333328</v>
      </c>
      <c r="AE158" s="18">
        <f t="shared" si="323"/>
        <v>13600</v>
      </c>
      <c r="AF158" s="18">
        <f t="shared" si="323"/>
        <v>18000</v>
      </c>
      <c r="AG158" s="18">
        <f t="shared" si="323"/>
        <v>20300</v>
      </c>
      <c r="AH158" s="18">
        <f t="shared" ref="AH158:AK158" si="332">AH157+(AH$174-AH$150)/24</f>
        <v>11800</v>
      </c>
      <c r="AI158" s="18">
        <f t="shared" si="332"/>
        <v>13600</v>
      </c>
      <c r="AJ158" s="18">
        <f t="shared" si="332"/>
        <v>18833.333333333343</v>
      </c>
      <c r="AK158" s="18">
        <f t="shared" si="332"/>
        <v>21666.666666666657</v>
      </c>
      <c r="AL158" s="18">
        <f t="shared" si="323"/>
        <v>22000</v>
      </c>
      <c r="AM158" s="18">
        <f t="shared" si="323"/>
        <v>25000</v>
      </c>
      <c r="AN158" s="18">
        <f t="shared" si="323"/>
        <v>28600</v>
      </c>
      <c r="AO158" s="18">
        <f t="shared" si="323"/>
        <v>45000</v>
      </c>
      <c r="AP158" s="18">
        <f t="shared" si="323"/>
        <v>48000</v>
      </c>
      <c r="AQ158" s="18">
        <f t="shared" si="323"/>
        <v>54000</v>
      </c>
      <c r="AR158" s="18">
        <f t="shared" si="323"/>
        <v>147200</v>
      </c>
      <c r="AS158" s="18">
        <f t="shared" si="275"/>
        <v>33260.869565217392</v>
      </c>
      <c r="AT158" s="184" t="str">
        <f t="shared" si="280"/>
        <v/>
      </c>
      <c r="AU158" s="184" t="str">
        <f t="shared" si="281"/>
        <v/>
      </c>
      <c r="AV158" s="184" t="str">
        <f t="shared" si="282"/>
        <v/>
      </c>
      <c r="AW158" s="184" t="str">
        <f t="shared" si="283"/>
        <v/>
      </c>
      <c r="AX158" s="184" t="str">
        <f t="shared" si="284"/>
        <v/>
      </c>
      <c r="AY158" s="184" t="str">
        <f t="shared" si="285"/>
        <v/>
      </c>
      <c r="AZ158" s="184" t="str">
        <f t="shared" si="286"/>
        <v/>
      </c>
      <c r="BA158" s="184" t="str">
        <f t="shared" si="287"/>
        <v/>
      </c>
      <c r="BB158" s="184" t="str">
        <f t="shared" si="288"/>
        <v/>
      </c>
      <c r="BC158" s="184" t="str">
        <f t="shared" si="289"/>
        <v/>
      </c>
      <c r="BD158" s="184" t="str">
        <f t="shared" si="290"/>
        <v/>
      </c>
      <c r="BE158" s="184" t="str">
        <f t="shared" si="291"/>
        <v/>
      </c>
      <c r="BF158" s="184" t="str">
        <f t="shared" si="292"/>
        <v/>
      </c>
      <c r="BG158" s="184" t="str">
        <f t="shared" si="293"/>
        <v/>
      </c>
      <c r="BH158" s="184" t="str">
        <f t="shared" si="294"/>
        <v/>
      </c>
      <c r="BI158" s="184" t="str">
        <f t="shared" si="295"/>
        <v/>
      </c>
      <c r="BJ158" s="184" t="str">
        <f t="shared" si="296"/>
        <v/>
      </c>
      <c r="BK158" s="184" t="str">
        <f t="shared" si="297"/>
        <v/>
      </c>
      <c r="BL158" s="184" t="str">
        <f t="shared" si="298"/>
        <v/>
      </c>
      <c r="BM158" s="184" t="str">
        <f t="shared" si="299"/>
        <v/>
      </c>
      <c r="BN158" s="184" t="str">
        <f t="shared" si="300"/>
        <v/>
      </c>
      <c r="BO158" s="184" t="str">
        <f t="shared" si="301"/>
        <v/>
      </c>
      <c r="BP158" s="184" t="str">
        <f t="shared" si="302"/>
        <v/>
      </c>
      <c r="BQ158" s="184" t="str">
        <f t="shared" si="303"/>
        <v/>
      </c>
      <c r="BR158" s="184" t="str">
        <f t="shared" si="304"/>
        <v/>
      </c>
      <c r="BS158" s="184" t="str">
        <f t="shared" si="304"/>
        <v/>
      </c>
      <c r="BT158" s="184" t="str">
        <f t="shared" si="304"/>
        <v/>
      </c>
      <c r="BU158" s="184" t="str">
        <f t="shared" si="305"/>
        <v/>
      </c>
      <c r="BV158" s="184" t="str">
        <f t="shared" si="306"/>
        <v/>
      </c>
      <c r="BW158" s="184" t="str">
        <f t="shared" si="307"/>
        <v/>
      </c>
      <c r="BX158" s="184" t="str">
        <f t="shared" si="308"/>
        <v/>
      </c>
      <c r="BY158" s="184" t="str">
        <f t="shared" si="309"/>
        <v/>
      </c>
      <c r="BZ158" s="184" t="str">
        <f t="shared" si="310"/>
        <v/>
      </c>
      <c r="CA158" s="184" t="str">
        <f t="shared" si="311"/>
        <v/>
      </c>
      <c r="CB158" s="184" t="str">
        <f t="shared" si="312"/>
        <v/>
      </c>
      <c r="CC158" s="184" t="str">
        <f t="shared" si="313"/>
        <v/>
      </c>
      <c r="CD158" s="184" t="str">
        <f t="shared" si="314"/>
        <v/>
      </c>
      <c r="CE158" s="184" t="str">
        <f t="shared" si="315"/>
        <v/>
      </c>
      <c r="CF158" s="184" t="str">
        <f t="shared" si="316"/>
        <v/>
      </c>
      <c r="CG158" s="184" t="str">
        <f t="shared" si="317"/>
        <v/>
      </c>
      <c r="CH158" s="184" t="str">
        <f t="shared" si="318"/>
        <v/>
      </c>
      <c r="CI158" s="184" t="str">
        <f t="shared" si="319"/>
        <v/>
      </c>
      <c r="CJ158" s="184" t="str">
        <f t="shared" si="320"/>
        <v/>
      </c>
      <c r="CK158" s="184"/>
      <c r="CM158" s="184"/>
      <c r="CN158"/>
      <c r="CP158"/>
      <c r="CR158"/>
      <c r="CT158"/>
      <c r="CV158"/>
      <c r="CX158"/>
      <c r="CZ158"/>
      <c r="DB158"/>
      <c r="DD158"/>
      <c r="DF158"/>
      <c r="ED158" s="184"/>
      <c r="EF158" s="184"/>
      <c r="EH158" s="184"/>
      <c r="EJ158" s="184"/>
      <c r="EL158" s="184"/>
      <c r="EN158" s="184"/>
      <c r="EP158" s="184"/>
      <c r="ER158" s="184"/>
      <c r="ET158" s="184"/>
      <c r="EV158" s="184"/>
      <c r="EX158" s="184"/>
      <c r="EZ158" s="184"/>
      <c r="FB158" s="184"/>
    </row>
    <row r="159" spans="1:158">
      <c r="A159" s="184">
        <f t="shared" si="276"/>
        <v>9.5</v>
      </c>
      <c r="B159" s="18">
        <f t="shared" si="325"/>
        <v>5512.5000000000027</v>
      </c>
      <c r="C159" s="18">
        <f t="shared" si="321"/>
        <v>7125</v>
      </c>
      <c r="D159" s="18">
        <f t="shared" si="321"/>
        <v>9399.9999999999964</v>
      </c>
      <c r="E159" s="18">
        <f t="shared" si="321"/>
        <v>10850</v>
      </c>
      <c r="F159" s="18">
        <f t="shared" si="321"/>
        <v>5324.9999999999973</v>
      </c>
      <c r="G159" s="18">
        <f t="shared" si="321"/>
        <v>6862.4999999999973</v>
      </c>
      <c r="H159" s="18">
        <f t="shared" si="321"/>
        <v>9437.5000000000036</v>
      </c>
      <c r="I159" s="18">
        <f t="shared" si="321"/>
        <v>5475</v>
      </c>
      <c r="J159" s="18">
        <f t="shared" si="321"/>
        <v>7237.5000000000027</v>
      </c>
      <c r="K159" s="18">
        <f t="shared" si="321"/>
        <v>9174.9999999999964</v>
      </c>
      <c r="L159" s="18">
        <f t="shared" si="321"/>
        <v>10712.499999999995</v>
      </c>
      <c r="M159" s="18">
        <f t="shared" si="321"/>
        <v>13562.5</v>
      </c>
      <c r="N159" s="18">
        <f t="shared" si="321"/>
        <v>8818.75</v>
      </c>
      <c r="O159" s="18">
        <f t="shared" si="321"/>
        <v>10620</v>
      </c>
      <c r="P159" s="18">
        <f t="shared" si="321"/>
        <v>14700.000000000005</v>
      </c>
      <c r="Q159" s="18">
        <f t="shared" si="321"/>
        <v>14925.000000000005</v>
      </c>
      <c r="R159" s="18">
        <f t="shared" si="321"/>
        <v>21300</v>
      </c>
      <c r="S159" s="18">
        <f t="shared" si="321"/>
        <v>12687.5</v>
      </c>
      <c r="T159" s="18">
        <f t="shared" si="321"/>
        <v>15243.75</v>
      </c>
      <c r="U159" s="18">
        <f t="shared" si="321"/>
        <v>17832.099999999995</v>
      </c>
      <c r="V159" s="18">
        <f t="shared" si="321"/>
        <v>21231</v>
      </c>
      <c r="W159" s="18">
        <f t="shared" si="321"/>
        <v>26656.699999999993</v>
      </c>
      <c r="X159" s="18">
        <f t="shared" si="321"/>
        <v>31070.250000000004</v>
      </c>
      <c r="Y159" s="18">
        <f t="shared" si="321"/>
        <v>36387.500000000022</v>
      </c>
      <c r="Z159" s="18">
        <f t="shared" si="322"/>
        <v>27090</v>
      </c>
      <c r="AA159" s="18">
        <f t="shared" si="322"/>
        <v>34830</v>
      </c>
      <c r="AB159" s="18">
        <f t="shared" si="322"/>
        <v>43065</v>
      </c>
      <c r="AC159" s="18">
        <f t="shared" si="323"/>
        <v>9450.0000000000055</v>
      </c>
      <c r="AD159" s="18">
        <f t="shared" si="323"/>
        <v>11387.499999999995</v>
      </c>
      <c r="AE159" s="18">
        <f t="shared" si="323"/>
        <v>13600</v>
      </c>
      <c r="AF159" s="18">
        <f t="shared" si="323"/>
        <v>18000</v>
      </c>
      <c r="AG159" s="18">
        <f t="shared" si="323"/>
        <v>20300</v>
      </c>
      <c r="AH159" s="18">
        <f t="shared" ref="AH159:AK159" si="333">AH158+(AH$174-AH$150)/24</f>
        <v>11900</v>
      </c>
      <c r="AI159" s="18">
        <f t="shared" si="333"/>
        <v>13675</v>
      </c>
      <c r="AJ159" s="18">
        <f t="shared" si="333"/>
        <v>18937.500000000011</v>
      </c>
      <c r="AK159" s="18">
        <f t="shared" si="333"/>
        <v>21749.999999999989</v>
      </c>
      <c r="AL159" s="18">
        <f t="shared" si="323"/>
        <v>22000</v>
      </c>
      <c r="AM159" s="18">
        <f t="shared" si="323"/>
        <v>25000</v>
      </c>
      <c r="AN159" s="18">
        <f t="shared" si="323"/>
        <v>28600</v>
      </c>
      <c r="AO159" s="18">
        <f t="shared" si="323"/>
        <v>45000</v>
      </c>
      <c r="AP159" s="18">
        <f t="shared" si="323"/>
        <v>48000</v>
      </c>
      <c r="AQ159" s="18">
        <f t="shared" si="323"/>
        <v>54000</v>
      </c>
      <c r="AR159" s="18">
        <f t="shared" si="323"/>
        <v>147200</v>
      </c>
      <c r="AS159" s="18">
        <f t="shared" si="275"/>
        <v>32934.782608695656</v>
      </c>
      <c r="AT159" s="184" t="str">
        <f t="shared" si="280"/>
        <v/>
      </c>
      <c r="AU159" s="184" t="str">
        <f t="shared" si="281"/>
        <v/>
      </c>
      <c r="AV159" s="184" t="str">
        <f t="shared" si="282"/>
        <v/>
      </c>
      <c r="AW159" s="184" t="str">
        <f t="shared" si="283"/>
        <v/>
      </c>
      <c r="AX159" s="184" t="str">
        <f t="shared" si="284"/>
        <v/>
      </c>
      <c r="AY159" s="184" t="str">
        <f t="shared" si="285"/>
        <v/>
      </c>
      <c r="AZ159" s="184" t="str">
        <f t="shared" si="286"/>
        <v/>
      </c>
      <c r="BA159" s="184" t="str">
        <f t="shared" si="287"/>
        <v/>
      </c>
      <c r="BB159" s="184" t="str">
        <f t="shared" si="288"/>
        <v/>
      </c>
      <c r="BC159" s="184" t="str">
        <f t="shared" si="289"/>
        <v/>
      </c>
      <c r="BD159" s="184" t="str">
        <f t="shared" si="290"/>
        <v/>
      </c>
      <c r="BE159" s="184" t="str">
        <f t="shared" si="291"/>
        <v/>
      </c>
      <c r="BF159" s="184" t="str">
        <f t="shared" si="292"/>
        <v/>
      </c>
      <c r="BG159" s="184" t="str">
        <f t="shared" si="293"/>
        <v/>
      </c>
      <c r="BH159" s="184" t="str">
        <f t="shared" si="294"/>
        <v/>
      </c>
      <c r="BI159" s="184" t="str">
        <f t="shared" si="295"/>
        <v/>
      </c>
      <c r="BJ159" s="184" t="str">
        <f t="shared" si="296"/>
        <v/>
      </c>
      <c r="BK159" s="184" t="str">
        <f t="shared" si="297"/>
        <v/>
      </c>
      <c r="BL159" s="184" t="str">
        <f t="shared" si="298"/>
        <v/>
      </c>
      <c r="BM159" s="184" t="str">
        <f t="shared" si="299"/>
        <v/>
      </c>
      <c r="BN159" s="184" t="str">
        <f t="shared" si="300"/>
        <v/>
      </c>
      <c r="BO159" s="184" t="str">
        <f t="shared" si="301"/>
        <v/>
      </c>
      <c r="BP159" s="184" t="str">
        <f t="shared" si="302"/>
        <v/>
      </c>
      <c r="BQ159" s="184" t="str">
        <f t="shared" si="303"/>
        <v/>
      </c>
      <c r="BR159" s="184" t="str">
        <f t="shared" si="304"/>
        <v/>
      </c>
      <c r="BS159" s="184" t="str">
        <f t="shared" si="304"/>
        <v/>
      </c>
      <c r="BT159" s="184" t="str">
        <f t="shared" si="304"/>
        <v/>
      </c>
      <c r="BU159" s="184" t="str">
        <f t="shared" si="305"/>
        <v/>
      </c>
      <c r="BV159" s="184" t="str">
        <f t="shared" si="306"/>
        <v/>
      </c>
      <c r="BW159" s="184" t="str">
        <f t="shared" si="307"/>
        <v/>
      </c>
      <c r="BX159" s="184" t="str">
        <f t="shared" si="308"/>
        <v/>
      </c>
      <c r="BY159" s="184" t="str">
        <f t="shared" si="309"/>
        <v/>
      </c>
      <c r="BZ159" s="184" t="str">
        <f t="shared" si="310"/>
        <v/>
      </c>
      <c r="CA159" s="184" t="str">
        <f t="shared" si="311"/>
        <v/>
      </c>
      <c r="CB159" s="184" t="str">
        <f t="shared" si="312"/>
        <v/>
      </c>
      <c r="CC159" s="184" t="str">
        <f t="shared" si="313"/>
        <v/>
      </c>
      <c r="CD159" s="184" t="str">
        <f t="shared" si="314"/>
        <v/>
      </c>
      <c r="CE159" s="184" t="str">
        <f t="shared" si="315"/>
        <v/>
      </c>
      <c r="CF159" s="184" t="str">
        <f t="shared" si="316"/>
        <v/>
      </c>
      <c r="CG159" s="184" t="str">
        <f t="shared" si="317"/>
        <v/>
      </c>
      <c r="CH159" s="184" t="str">
        <f t="shared" si="318"/>
        <v/>
      </c>
      <c r="CI159" s="184" t="str">
        <f t="shared" si="319"/>
        <v/>
      </c>
      <c r="CJ159" s="184" t="str">
        <f t="shared" si="320"/>
        <v/>
      </c>
      <c r="CK159" s="184"/>
      <c r="CM159" s="184"/>
      <c r="CN159"/>
      <c r="CP159"/>
      <c r="CR159"/>
      <c r="CT159"/>
      <c r="CV159"/>
      <c r="CX159"/>
      <c r="CZ159"/>
      <c r="DB159"/>
      <c r="DD159"/>
      <c r="DF159"/>
      <c r="ED159" s="184"/>
      <c r="EF159" s="184"/>
      <c r="EH159" s="184"/>
      <c r="EJ159" s="184"/>
      <c r="EL159" s="184"/>
      <c r="EN159" s="184"/>
      <c r="EP159" s="184"/>
      <c r="ER159" s="184"/>
      <c r="ET159" s="184"/>
      <c r="EV159" s="184"/>
      <c r="EX159" s="184"/>
      <c r="EZ159" s="184"/>
      <c r="FB159" s="184"/>
    </row>
    <row r="160" spans="1:158">
      <c r="A160" s="184">
        <f t="shared" si="276"/>
        <v>10</v>
      </c>
      <c r="B160" s="18">
        <f t="shared" si="325"/>
        <v>5591.6666666666697</v>
      </c>
      <c r="C160" s="18">
        <f t="shared" si="321"/>
        <v>7250</v>
      </c>
      <c r="D160" s="18">
        <f t="shared" si="321"/>
        <v>9566.6666666666624</v>
      </c>
      <c r="E160" s="18">
        <f t="shared" si="321"/>
        <v>11000</v>
      </c>
      <c r="F160" s="18">
        <f t="shared" si="321"/>
        <v>5383.3333333333303</v>
      </c>
      <c r="G160" s="18">
        <f t="shared" si="321"/>
        <v>6958.3333333333303</v>
      </c>
      <c r="H160" s="18">
        <f t="shared" si="321"/>
        <v>9608.3333333333376</v>
      </c>
      <c r="I160" s="18">
        <f t="shared" si="321"/>
        <v>5550</v>
      </c>
      <c r="J160" s="18">
        <f t="shared" si="321"/>
        <v>7341.6666666666697</v>
      </c>
      <c r="K160" s="18">
        <f t="shared" si="321"/>
        <v>9316.6666666666624</v>
      </c>
      <c r="L160" s="18">
        <f t="shared" si="321"/>
        <v>10891.666666666661</v>
      </c>
      <c r="M160" s="18">
        <f t="shared" si="321"/>
        <v>13725</v>
      </c>
      <c r="N160" s="18">
        <f t="shared" si="321"/>
        <v>8950.8333333333339</v>
      </c>
      <c r="O160" s="18">
        <f t="shared" si="321"/>
        <v>10712</v>
      </c>
      <c r="P160" s="18">
        <f t="shared" si="321"/>
        <v>14813.333333333339</v>
      </c>
      <c r="Q160" s="18">
        <f t="shared" si="321"/>
        <v>15143.333333333339</v>
      </c>
      <c r="R160" s="18">
        <f t="shared" si="321"/>
        <v>21520</v>
      </c>
      <c r="S160" s="18">
        <f t="shared" si="321"/>
        <v>12875</v>
      </c>
      <c r="T160" s="18">
        <f t="shared" si="321"/>
        <v>15437.5</v>
      </c>
      <c r="U160" s="18">
        <f t="shared" si="321"/>
        <v>18065.666666666661</v>
      </c>
      <c r="V160" s="18">
        <f t="shared" si="321"/>
        <v>21510</v>
      </c>
      <c r="W160" s="18">
        <f t="shared" si="321"/>
        <v>27006.999999999993</v>
      </c>
      <c r="X160" s="18">
        <f t="shared" si="321"/>
        <v>31162.500000000004</v>
      </c>
      <c r="Y160" s="18">
        <f t="shared" si="321"/>
        <v>36828.333333333358</v>
      </c>
      <c r="Z160" s="18">
        <f t="shared" si="322"/>
        <v>27300</v>
      </c>
      <c r="AA160" s="18">
        <f t="shared" si="322"/>
        <v>35100</v>
      </c>
      <c r="AB160" s="18">
        <f t="shared" si="322"/>
        <v>43450</v>
      </c>
      <c r="AC160" s="18">
        <f t="shared" si="323"/>
        <v>9533.3333333333394</v>
      </c>
      <c r="AD160" s="18">
        <f t="shared" si="323"/>
        <v>11441.666666666661</v>
      </c>
      <c r="AE160" s="18">
        <f t="shared" si="323"/>
        <v>13600</v>
      </c>
      <c r="AF160" s="18">
        <f t="shared" si="323"/>
        <v>18000</v>
      </c>
      <c r="AG160" s="18">
        <f t="shared" si="323"/>
        <v>20300</v>
      </c>
      <c r="AH160" s="18">
        <f t="shared" ref="AH160:AK160" si="334">AH159+(AH$174-AH$150)/24</f>
        <v>12000</v>
      </c>
      <c r="AI160" s="18">
        <f t="shared" si="334"/>
        <v>13750</v>
      </c>
      <c r="AJ160" s="18">
        <f t="shared" si="334"/>
        <v>19041.666666666679</v>
      </c>
      <c r="AK160" s="18">
        <f t="shared" si="334"/>
        <v>21833.333333333321</v>
      </c>
      <c r="AL160" s="18">
        <f t="shared" si="323"/>
        <v>22000</v>
      </c>
      <c r="AM160" s="18">
        <f t="shared" si="323"/>
        <v>25000</v>
      </c>
      <c r="AN160" s="18">
        <f t="shared" si="323"/>
        <v>28600</v>
      </c>
      <c r="AO160" s="18">
        <f t="shared" si="323"/>
        <v>45000</v>
      </c>
      <c r="AP160" s="18">
        <f t="shared" si="323"/>
        <v>48000</v>
      </c>
      <c r="AQ160" s="18">
        <f t="shared" si="323"/>
        <v>54000</v>
      </c>
      <c r="AR160" s="18">
        <f t="shared" si="323"/>
        <v>147200</v>
      </c>
      <c r="AS160" s="18">
        <f t="shared" si="275"/>
        <v>32608.695652173912</v>
      </c>
      <c r="AT160" s="184" t="str">
        <f t="shared" si="280"/>
        <v/>
      </c>
      <c r="AU160" s="184" t="str">
        <f t="shared" si="281"/>
        <v/>
      </c>
      <c r="AV160" s="184" t="str">
        <f t="shared" si="282"/>
        <v/>
      </c>
      <c r="AW160" s="184" t="str">
        <f t="shared" si="283"/>
        <v/>
      </c>
      <c r="AX160" s="184" t="str">
        <f t="shared" si="284"/>
        <v/>
      </c>
      <c r="AY160" s="184" t="str">
        <f t="shared" si="285"/>
        <v/>
      </c>
      <c r="AZ160" s="184" t="str">
        <f t="shared" si="286"/>
        <v/>
      </c>
      <c r="BA160" s="184" t="str">
        <f t="shared" si="287"/>
        <v/>
      </c>
      <c r="BB160" s="184" t="str">
        <f t="shared" si="288"/>
        <v/>
      </c>
      <c r="BC160" s="184" t="str">
        <f t="shared" si="289"/>
        <v/>
      </c>
      <c r="BD160" s="184" t="str">
        <f t="shared" si="290"/>
        <v/>
      </c>
      <c r="BE160" s="184" t="str">
        <f t="shared" si="291"/>
        <v/>
      </c>
      <c r="BF160" s="184" t="str">
        <f t="shared" si="292"/>
        <v/>
      </c>
      <c r="BG160" s="184" t="str">
        <f t="shared" si="293"/>
        <v/>
      </c>
      <c r="BH160" s="184" t="str">
        <f t="shared" si="294"/>
        <v/>
      </c>
      <c r="BI160" s="184" t="str">
        <f t="shared" si="295"/>
        <v/>
      </c>
      <c r="BJ160" s="184" t="str">
        <f t="shared" si="296"/>
        <v/>
      </c>
      <c r="BK160" s="184" t="str">
        <f t="shared" si="297"/>
        <v/>
      </c>
      <c r="BL160" s="184" t="str">
        <f t="shared" si="298"/>
        <v/>
      </c>
      <c r="BM160" s="184" t="str">
        <f t="shared" si="299"/>
        <v/>
      </c>
      <c r="BN160" s="184" t="str">
        <f t="shared" si="300"/>
        <v/>
      </c>
      <c r="BO160" s="184" t="str">
        <f t="shared" si="301"/>
        <v/>
      </c>
      <c r="BP160" s="184" t="str">
        <f t="shared" si="302"/>
        <v/>
      </c>
      <c r="BQ160" s="184" t="str">
        <f t="shared" si="303"/>
        <v/>
      </c>
      <c r="BR160" s="184" t="str">
        <f t="shared" si="304"/>
        <v/>
      </c>
      <c r="BS160" s="184" t="str">
        <f t="shared" si="304"/>
        <v/>
      </c>
      <c r="BT160" s="184" t="str">
        <f t="shared" si="304"/>
        <v/>
      </c>
      <c r="BU160" s="184" t="str">
        <f t="shared" si="305"/>
        <v/>
      </c>
      <c r="BV160" s="184" t="str">
        <f t="shared" si="306"/>
        <v/>
      </c>
      <c r="BW160" s="184" t="str">
        <f t="shared" si="307"/>
        <v/>
      </c>
      <c r="BX160" s="184" t="str">
        <f t="shared" si="308"/>
        <v/>
      </c>
      <c r="BY160" s="184" t="str">
        <f t="shared" si="309"/>
        <v/>
      </c>
      <c r="BZ160" s="184" t="str">
        <f t="shared" si="310"/>
        <v/>
      </c>
      <c r="CA160" s="184" t="str">
        <f t="shared" si="311"/>
        <v/>
      </c>
      <c r="CB160" s="184" t="str">
        <f t="shared" si="312"/>
        <v/>
      </c>
      <c r="CC160" s="184" t="str">
        <f t="shared" si="313"/>
        <v/>
      </c>
      <c r="CD160" s="184" t="str">
        <f t="shared" si="314"/>
        <v/>
      </c>
      <c r="CE160" s="184" t="str">
        <f t="shared" si="315"/>
        <v/>
      </c>
      <c r="CF160" s="184" t="str">
        <f t="shared" si="316"/>
        <v/>
      </c>
      <c r="CG160" s="184" t="str">
        <f t="shared" si="317"/>
        <v/>
      </c>
      <c r="CH160" s="184" t="str">
        <f t="shared" si="318"/>
        <v/>
      </c>
      <c r="CI160" s="184" t="str">
        <f t="shared" si="319"/>
        <v/>
      </c>
      <c r="CJ160" s="184" t="str">
        <f t="shared" si="320"/>
        <v/>
      </c>
      <c r="CK160" s="184"/>
      <c r="CM160" s="184"/>
      <c r="CN160"/>
      <c r="CP160"/>
      <c r="CR160"/>
      <c r="CT160"/>
      <c r="CV160"/>
      <c r="CX160"/>
      <c r="CZ160"/>
      <c r="DB160"/>
      <c r="DD160"/>
      <c r="DF160"/>
      <c r="ED160" s="184"/>
      <c r="EF160" s="184"/>
      <c r="EH160" s="184"/>
      <c r="EJ160" s="184"/>
      <c r="EL160" s="184"/>
      <c r="EN160" s="184"/>
      <c r="EP160" s="184"/>
      <c r="ER160" s="184"/>
      <c r="ET160" s="184"/>
      <c r="EV160" s="184"/>
      <c r="EX160" s="184"/>
      <c r="EZ160" s="184"/>
      <c r="FB160" s="184"/>
    </row>
    <row r="161" spans="1:158">
      <c r="A161" s="184">
        <f t="shared" si="276"/>
        <v>10.5</v>
      </c>
      <c r="B161" s="18">
        <f t="shared" si="325"/>
        <v>5670.8333333333367</v>
      </c>
      <c r="C161" s="18">
        <f t="shared" si="321"/>
        <v>7375</v>
      </c>
      <c r="D161" s="18">
        <f t="shared" si="321"/>
        <v>9733.3333333333285</v>
      </c>
      <c r="E161" s="18">
        <f t="shared" si="321"/>
        <v>11150</v>
      </c>
      <c r="F161" s="18">
        <f t="shared" si="321"/>
        <v>5441.6666666666633</v>
      </c>
      <c r="G161" s="18">
        <f t="shared" si="321"/>
        <v>7054.1666666666633</v>
      </c>
      <c r="H161" s="18">
        <f t="shared" si="321"/>
        <v>9779.1666666666715</v>
      </c>
      <c r="I161" s="18">
        <f t="shared" si="321"/>
        <v>5625</v>
      </c>
      <c r="J161" s="18">
        <f t="shared" si="321"/>
        <v>7445.8333333333367</v>
      </c>
      <c r="K161" s="18">
        <f t="shared" si="321"/>
        <v>9458.3333333333285</v>
      </c>
      <c r="L161" s="18">
        <f t="shared" si="321"/>
        <v>11070.833333333327</v>
      </c>
      <c r="M161" s="18">
        <f t="shared" si="321"/>
        <v>13887.5</v>
      </c>
      <c r="N161" s="18">
        <f t="shared" si="321"/>
        <v>9082.9166666666679</v>
      </c>
      <c r="O161" s="18">
        <f t="shared" si="321"/>
        <v>10804</v>
      </c>
      <c r="P161" s="18">
        <f t="shared" si="321"/>
        <v>14926.666666666673</v>
      </c>
      <c r="Q161" s="18">
        <f t="shared" si="321"/>
        <v>15361.666666666673</v>
      </c>
      <c r="R161" s="18">
        <f t="shared" si="321"/>
        <v>21740</v>
      </c>
      <c r="S161" s="18">
        <f t="shared" si="321"/>
        <v>13062.5</v>
      </c>
      <c r="T161" s="18">
        <f t="shared" si="321"/>
        <v>15631.25</v>
      </c>
      <c r="U161" s="18">
        <f t="shared" si="321"/>
        <v>18299.233333333326</v>
      </c>
      <c r="V161" s="18">
        <f t="shared" si="321"/>
        <v>21789</v>
      </c>
      <c r="W161" s="18">
        <f t="shared" si="321"/>
        <v>27357.299999999992</v>
      </c>
      <c r="X161" s="18">
        <f t="shared" si="321"/>
        <v>31254.750000000004</v>
      </c>
      <c r="Y161" s="18">
        <f t="shared" si="321"/>
        <v>37269.166666666693</v>
      </c>
      <c r="Z161" s="18">
        <f t="shared" si="322"/>
        <v>27510</v>
      </c>
      <c r="AA161" s="18">
        <f t="shared" si="322"/>
        <v>35370</v>
      </c>
      <c r="AB161" s="18">
        <f t="shared" si="322"/>
        <v>43835</v>
      </c>
      <c r="AC161" s="18">
        <f t="shared" si="323"/>
        <v>9616.6666666666733</v>
      </c>
      <c r="AD161" s="18">
        <f t="shared" si="323"/>
        <v>11495.833333333327</v>
      </c>
      <c r="AE161" s="18">
        <f t="shared" si="323"/>
        <v>13600</v>
      </c>
      <c r="AF161" s="18">
        <f t="shared" si="323"/>
        <v>18000</v>
      </c>
      <c r="AG161" s="18">
        <f t="shared" si="323"/>
        <v>20300</v>
      </c>
      <c r="AH161" s="18">
        <f t="shared" ref="AH161:AK161" si="335">AH160+(AH$174-AH$150)/24</f>
        <v>12100</v>
      </c>
      <c r="AI161" s="18">
        <f t="shared" si="335"/>
        <v>13825</v>
      </c>
      <c r="AJ161" s="18">
        <f t="shared" si="335"/>
        <v>19145.833333333347</v>
      </c>
      <c r="AK161" s="18">
        <f t="shared" si="335"/>
        <v>21916.666666666653</v>
      </c>
      <c r="AL161" s="18">
        <f t="shared" si="323"/>
        <v>22000</v>
      </c>
      <c r="AM161" s="18">
        <f t="shared" si="323"/>
        <v>25000</v>
      </c>
      <c r="AN161" s="18">
        <f t="shared" si="323"/>
        <v>28600</v>
      </c>
      <c r="AO161" s="18">
        <f t="shared" si="323"/>
        <v>45000</v>
      </c>
      <c r="AP161" s="18">
        <f t="shared" si="323"/>
        <v>48000</v>
      </c>
      <c r="AQ161" s="18">
        <f t="shared" si="323"/>
        <v>54000</v>
      </c>
      <c r="AR161" s="18">
        <f t="shared" si="323"/>
        <v>147200</v>
      </c>
      <c r="AS161" s="18">
        <f t="shared" si="275"/>
        <v>32282.608695652172</v>
      </c>
      <c r="AT161" s="184" t="str">
        <f t="shared" si="280"/>
        <v/>
      </c>
      <c r="AU161" s="184" t="str">
        <f t="shared" si="281"/>
        <v/>
      </c>
      <c r="AV161" s="184" t="str">
        <f t="shared" si="282"/>
        <v/>
      </c>
      <c r="AW161" s="184" t="str">
        <f t="shared" si="283"/>
        <v/>
      </c>
      <c r="AX161" s="184" t="str">
        <f t="shared" si="284"/>
        <v/>
      </c>
      <c r="AY161" s="184" t="str">
        <f t="shared" si="285"/>
        <v/>
      </c>
      <c r="AZ161" s="184" t="str">
        <f t="shared" si="286"/>
        <v/>
      </c>
      <c r="BA161" s="184" t="str">
        <f t="shared" si="287"/>
        <v/>
      </c>
      <c r="BB161" s="184" t="str">
        <f t="shared" si="288"/>
        <v/>
      </c>
      <c r="BC161" s="184" t="str">
        <f t="shared" si="289"/>
        <v/>
      </c>
      <c r="BD161" s="184" t="str">
        <f t="shared" si="290"/>
        <v/>
      </c>
      <c r="BE161" s="184" t="str">
        <f t="shared" si="291"/>
        <v/>
      </c>
      <c r="BF161" s="184" t="str">
        <f t="shared" si="292"/>
        <v/>
      </c>
      <c r="BG161" s="184" t="str">
        <f t="shared" si="293"/>
        <v/>
      </c>
      <c r="BH161" s="184" t="str">
        <f t="shared" si="294"/>
        <v/>
      </c>
      <c r="BI161" s="184" t="str">
        <f t="shared" si="295"/>
        <v/>
      </c>
      <c r="BJ161" s="184" t="str">
        <f t="shared" si="296"/>
        <v/>
      </c>
      <c r="BK161" s="184" t="str">
        <f t="shared" si="297"/>
        <v/>
      </c>
      <c r="BL161" s="184" t="str">
        <f t="shared" si="298"/>
        <v/>
      </c>
      <c r="BM161" s="184" t="str">
        <f t="shared" si="299"/>
        <v/>
      </c>
      <c r="BN161" s="184" t="str">
        <f t="shared" si="300"/>
        <v/>
      </c>
      <c r="BO161" s="184" t="str">
        <f t="shared" si="301"/>
        <v/>
      </c>
      <c r="BP161" s="184" t="str">
        <f t="shared" si="302"/>
        <v/>
      </c>
      <c r="BQ161" s="184" t="str">
        <f t="shared" si="303"/>
        <v/>
      </c>
      <c r="BR161" s="184" t="str">
        <f t="shared" si="304"/>
        <v/>
      </c>
      <c r="BS161" s="184" t="str">
        <f t="shared" si="304"/>
        <v/>
      </c>
      <c r="BT161" s="184" t="str">
        <f t="shared" si="304"/>
        <v/>
      </c>
      <c r="BU161" s="184" t="str">
        <f t="shared" si="305"/>
        <v/>
      </c>
      <c r="BV161" s="184" t="str">
        <f t="shared" si="306"/>
        <v/>
      </c>
      <c r="BW161" s="184" t="str">
        <f t="shared" si="307"/>
        <v/>
      </c>
      <c r="BX161" s="184" t="str">
        <f t="shared" si="308"/>
        <v/>
      </c>
      <c r="BY161" s="184" t="str">
        <f t="shared" si="309"/>
        <v/>
      </c>
      <c r="BZ161" s="184" t="str">
        <f t="shared" si="310"/>
        <v/>
      </c>
      <c r="CA161" s="184" t="str">
        <f t="shared" si="311"/>
        <v/>
      </c>
      <c r="CB161" s="184" t="str">
        <f t="shared" si="312"/>
        <v/>
      </c>
      <c r="CC161" s="184" t="str">
        <f t="shared" si="313"/>
        <v/>
      </c>
      <c r="CD161" s="184" t="str">
        <f t="shared" si="314"/>
        <v/>
      </c>
      <c r="CE161" s="184" t="str">
        <f t="shared" si="315"/>
        <v/>
      </c>
      <c r="CF161" s="184" t="str">
        <f t="shared" si="316"/>
        <v/>
      </c>
      <c r="CG161" s="184" t="str">
        <f t="shared" si="317"/>
        <v/>
      </c>
      <c r="CH161" s="184" t="str">
        <f t="shared" si="318"/>
        <v/>
      </c>
      <c r="CI161" s="184" t="str">
        <f t="shared" si="319"/>
        <v/>
      </c>
      <c r="CJ161" s="184" t="str">
        <f t="shared" si="320"/>
        <v/>
      </c>
      <c r="CK161" s="184"/>
      <c r="CM161" s="184"/>
      <c r="CN161"/>
      <c r="CP161"/>
      <c r="CR161"/>
      <c r="CT161"/>
      <c r="CV161"/>
      <c r="CX161"/>
      <c r="CZ161"/>
      <c r="DB161"/>
      <c r="DD161"/>
      <c r="DF161"/>
      <c r="ED161" s="184"/>
      <c r="EF161" s="184"/>
      <c r="EH161" s="184"/>
      <c r="EJ161" s="184"/>
      <c r="EL161" s="184"/>
      <c r="EN161" s="184"/>
      <c r="EP161" s="184"/>
      <c r="ER161" s="184"/>
      <c r="ET161" s="184"/>
      <c r="EV161" s="184"/>
      <c r="EX161" s="184"/>
      <c r="EZ161" s="184"/>
      <c r="FB161" s="184"/>
    </row>
    <row r="162" spans="1:158">
      <c r="A162" s="184">
        <f t="shared" si="276"/>
        <v>11</v>
      </c>
      <c r="B162" s="18">
        <f t="shared" si="325"/>
        <v>5750.0000000000036</v>
      </c>
      <c r="C162" s="18">
        <f t="shared" si="321"/>
        <v>7500</v>
      </c>
      <c r="D162" s="18">
        <f t="shared" si="321"/>
        <v>9899.9999999999945</v>
      </c>
      <c r="E162" s="18">
        <f t="shared" ref="E162:E173" si="336">E161+(E$174-E$150)/24</f>
        <v>11300</v>
      </c>
      <c r="F162" s="18">
        <f t="shared" ref="F162:F173" si="337">F161+(F$174-F$150)/24</f>
        <v>5499.9999999999964</v>
      </c>
      <c r="G162" s="18">
        <f t="shared" ref="G162:G173" si="338">G161+(G$174-G$150)/24</f>
        <v>7149.9999999999964</v>
      </c>
      <c r="H162" s="18">
        <f t="shared" ref="H162:H173" si="339">H161+(H$174-H$150)/24</f>
        <v>9950.0000000000055</v>
      </c>
      <c r="I162" s="18">
        <f t="shared" ref="I162:I173" si="340">I161+(I$174-I$150)/24</f>
        <v>5700</v>
      </c>
      <c r="J162" s="18">
        <f t="shared" ref="J162:J173" si="341">J161+(J$174-J$150)/24</f>
        <v>7550.0000000000036</v>
      </c>
      <c r="K162" s="18">
        <f t="shared" ref="K162:K173" si="342">K161+(K$174-K$150)/24</f>
        <v>9599.9999999999945</v>
      </c>
      <c r="L162" s="18">
        <f t="shared" ref="L162:L173" si="343">L161+(L$174-L$150)/24</f>
        <v>11249.999999999993</v>
      </c>
      <c r="M162" s="18">
        <f t="shared" ref="M162:M173" si="344">M161+(M$174-M$150)/24</f>
        <v>14050</v>
      </c>
      <c r="N162" s="18">
        <f t="shared" ref="N162:N173" si="345">N161+(N$174-N$150)/24</f>
        <v>9215.0000000000018</v>
      </c>
      <c r="O162" s="18">
        <f t="shared" ref="O162:O173" si="346">O161+(O$174-O$150)/24</f>
        <v>10896</v>
      </c>
      <c r="P162" s="18">
        <f t="shared" ref="P162:P173" si="347">P161+(P$174-P$150)/24</f>
        <v>15040.000000000007</v>
      </c>
      <c r="Q162" s="18">
        <f t="shared" ref="Q162:Q173" si="348">Q161+(Q$174-Q$150)/24</f>
        <v>15580.000000000007</v>
      </c>
      <c r="R162" s="18">
        <f t="shared" ref="R162:R173" si="349">R161+(R$174-R$150)/24</f>
        <v>21960</v>
      </c>
      <c r="S162" s="18">
        <f t="shared" ref="S162:S173" si="350">S161+(S$174-S$150)/24</f>
        <v>13250</v>
      </c>
      <c r="T162" s="18">
        <f t="shared" ref="T162:T173" si="351">T161+(T$174-T$150)/24</f>
        <v>15825</v>
      </c>
      <c r="U162" s="18">
        <f t="shared" ref="U162:U173" si="352">U161+(U$174-U$150)/24</f>
        <v>18532.799999999992</v>
      </c>
      <c r="V162" s="18">
        <f t="shared" ref="V162:V173" si="353">V161+(V$174-V$150)/24</f>
        <v>22068</v>
      </c>
      <c r="W162" s="18">
        <f t="shared" ref="W162:W173" si="354">W161+(W$174-W$150)/24</f>
        <v>27707.599999999991</v>
      </c>
      <c r="X162" s="18">
        <f t="shared" ref="X162:AC173" si="355">X161+(X$174-X$150)/24</f>
        <v>31347.000000000004</v>
      </c>
      <c r="Y162" s="18">
        <f t="shared" ref="Y162:Z173" si="356">Y161+(Y$174-Y$150)/24</f>
        <v>37710.000000000029</v>
      </c>
      <c r="Z162" s="18">
        <f t="shared" si="356"/>
        <v>27720</v>
      </c>
      <c r="AA162" s="18">
        <f t="shared" ref="AA162:AB162" si="357">AA161+(AA$174-AA$150)/24</f>
        <v>35640</v>
      </c>
      <c r="AB162" s="18">
        <f t="shared" si="357"/>
        <v>44220</v>
      </c>
      <c r="AC162" s="18">
        <f t="shared" si="355"/>
        <v>9700.0000000000073</v>
      </c>
      <c r="AD162" s="18">
        <f t="shared" ref="AD162:AR162" si="358">AD161+(AD$174-AD$150)/24</f>
        <v>11549.999999999993</v>
      </c>
      <c r="AE162" s="18">
        <f t="shared" si="358"/>
        <v>13600</v>
      </c>
      <c r="AF162" s="18">
        <f t="shared" si="358"/>
        <v>18000</v>
      </c>
      <c r="AG162" s="18">
        <f t="shared" si="358"/>
        <v>20300</v>
      </c>
      <c r="AH162" s="18">
        <f t="shared" ref="AH162:AK162" si="359">AH161+(AH$174-AH$150)/24</f>
        <v>12200</v>
      </c>
      <c r="AI162" s="18">
        <f t="shared" si="359"/>
        <v>13900</v>
      </c>
      <c r="AJ162" s="18">
        <f t="shared" si="359"/>
        <v>19250.000000000015</v>
      </c>
      <c r="AK162" s="18">
        <f t="shared" si="359"/>
        <v>21999.999999999985</v>
      </c>
      <c r="AL162" s="18">
        <f t="shared" si="358"/>
        <v>22000</v>
      </c>
      <c r="AM162" s="18">
        <f t="shared" si="358"/>
        <v>25000</v>
      </c>
      <c r="AN162" s="18">
        <f t="shared" si="358"/>
        <v>28600</v>
      </c>
      <c r="AO162" s="18">
        <f t="shared" si="358"/>
        <v>45000</v>
      </c>
      <c r="AP162" s="18">
        <f t="shared" si="358"/>
        <v>48000</v>
      </c>
      <c r="AQ162" s="18">
        <f t="shared" si="358"/>
        <v>54000</v>
      </c>
      <c r="AR162" s="18">
        <f t="shared" si="358"/>
        <v>147200</v>
      </c>
      <c r="AS162" s="18">
        <f t="shared" si="275"/>
        <v>31956.521739130436</v>
      </c>
      <c r="AT162" s="184" t="str">
        <f t="shared" si="280"/>
        <v/>
      </c>
      <c r="AU162" s="184" t="str">
        <f t="shared" si="281"/>
        <v/>
      </c>
      <c r="AV162" s="184" t="str">
        <f t="shared" si="282"/>
        <v/>
      </c>
      <c r="AW162" s="184" t="str">
        <f t="shared" si="283"/>
        <v/>
      </c>
      <c r="AX162" s="184" t="str">
        <f t="shared" si="284"/>
        <v/>
      </c>
      <c r="AY162" s="184" t="str">
        <f t="shared" si="285"/>
        <v/>
      </c>
      <c r="AZ162" s="184" t="str">
        <f t="shared" si="286"/>
        <v/>
      </c>
      <c r="BA162" s="184" t="str">
        <f t="shared" si="287"/>
        <v/>
      </c>
      <c r="BB162" s="184" t="str">
        <f t="shared" si="288"/>
        <v/>
      </c>
      <c r="BC162" s="184" t="str">
        <f t="shared" si="289"/>
        <v/>
      </c>
      <c r="BD162" s="184" t="str">
        <f t="shared" si="290"/>
        <v/>
      </c>
      <c r="BE162" s="184" t="str">
        <f t="shared" si="291"/>
        <v/>
      </c>
      <c r="BF162" s="184" t="str">
        <f t="shared" si="292"/>
        <v/>
      </c>
      <c r="BG162" s="184" t="str">
        <f t="shared" si="293"/>
        <v/>
      </c>
      <c r="BH162" s="184" t="str">
        <f t="shared" si="294"/>
        <v/>
      </c>
      <c r="BI162" s="184" t="str">
        <f t="shared" si="295"/>
        <v/>
      </c>
      <c r="BJ162" s="184" t="str">
        <f t="shared" si="296"/>
        <v/>
      </c>
      <c r="BK162" s="184" t="str">
        <f t="shared" si="297"/>
        <v/>
      </c>
      <c r="BL162" s="184" t="str">
        <f t="shared" si="298"/>
        <v/>
      </c>
      <c r="BM162" s="184" t="str">
        <f t="shared" si="299"/>
        <v/>
      </c>
      <c r="BN162" s="184" t="str">
        <f t="shared" si="300"/>
        <v/>
      </c>
      <c r="BO162" s="184" t="str">
        <f t="shared" si="301"/>
        <v/>
      </c>
      <c r="BP162" s="184" t="str">
        <f t="shared" si="302"/>
        <v/>
      </c>
      <c r="BQ162" s="184" t="str">
        <f t="shared" si="303"/>
        <v/>
      </c>
      <c r="BR162" s="184" t="str">
        <f t="shared" si="304"/>
        <v/>
      </c>
      <c r="BS162" s="184" t="str">
        <f t="shared" si="304"/>
        <v/>
      </c>
      <c r="BT162" s="184" t="str">
        <f t="shared" si="304"/>
        <v/>
      </c>
      <c r="BU162" s="184" t="str">
        <f t="shared" si="305"/>
        <v/>
      </c>
      <c r="BV162" s="184" t="str">
        <f t="shared" si="306"/>
        <v/>
      </c>
      <c r="BW162" s="184" t="str">
        <f t="shared" si="307"/>
        <v/>
      </c>
      <c r="BX162" s="184" t="str">
        <f t="shared" si="308"/>
        <v/>
      </c>
      <c r="BY162" s="184" t="str">
        <f t="shared" si="309"/>
        <v/>
      </c>
      <c r="BZ162" s="184" t="str">
        <f t="shared" si="310"/>
        <v/>
      </c>
      <c r="CA162" s="184" t="str">
        <f t="shared" si="311"/>
        <v/>
      </c>
      <c r="CB162" s="184" t="str">
        <f t="shared" si="312"/>
        <v/>
      </c>
      <c r="CC162" s="184" t="str">
        <f t="shared" si="313"/>
        <v/>
      </c>
      <c r="CD162" s="184" t="str">
        <f t="shared" si="314"/>
        <v/>
      </c>
      <c r="CE162" s="184" t="str">
        <f t="shared" si="315"/>
        <v/>
      </c>
      <c r="CF162" s="184" t="str">
        <f t="shared" si="316"/>
        <v/>
      </c>
      <c r="CG162" s="184" t="str">
        <f t="shared" si="317"/>
        <v/>
      </c>
      <c r="CH162" s="184" t="str">
        <f t="shared" si="318"/>
        <v/>
      </c>
      <c r="CI162" s="184" t="str">
        <f t="shared" si="319"/>
        <v/>
      </c>
      <c r="CJ162" s="184" t="str">
        <f t="shared" si="320"/>
        <v/>
      </c>
      <c r="CK162" s="184"/>
      <c r="CM162" s="184"/>
      <c r="CN162"/>
      <c r="CP162"/>
      <c r="CR162"/>
      <c r="CT162"/>
      <c r="CV162"/>
      <c r="CX162"/>
      <c r="CZ162"/>
      <c r="DB162"/>
      <c r="DD162"/>
      <c r="DF162"/>
      <c r="ED162" s="184"/>
      <c r="EF162" s="184"/>
      <c r="EH162" s="184"/>
      <c r="EJ162" s="184"/>
      <c r="EL162" s="184"/>
      <c r="EN162" s="184"/>
      <c r="EP162" s="184"/>
      <c r="ER162" s="184"/>
      <c r="ET162" s="184"/>
      <c r="EV162" s="184"/>
      <c r="EX162" s="184"/>
      <c r="EZ162" s="184"/>
      <c r="FB162" s="184"/>
    </row>
    <row r="163" spans="1:158">
      <c r="A163" s="184">
        <f t="shared" si="276"/>
        <v>11.5</v>
      </c>
      <c r="B163" s="18">
        <f t="shared" si="325"/>
        <v>5829.1666666666706</v>
      </c>
      <c r="C163" s="18">
        <f t="shared" ref="C163:C173" si="360">C162+(C$174-C$150)/24</f>
        <v>7625</v>
      </c>
      <c r="D163" s="18">
        <f t="shared" ref="D163:D173" si="361">D162+(D$174-D$150)/24</f>
        <v>10066.666666666661</v>
      </c>
      <c r="E163" s="18">
        <f t="shared" si="336"/>
        <v>11450</v>
      </c>
      <c r="F163" s="18">
        <f t="shared" si="337"/>
        <v>5558.3333333333294</v>
      </c>
      <c r="G163" s="18">
        <f t="shared" si="338"/>
        <v>7245.8333333333294</v>
      </c>
      <c r="H163" s="18">
        <f t="shared" si="339"/>
        <v>10120.833333333339</v>
      </c>
      <c r="I163" s="18">
        <f t="shared" si="340"/>
        <v>5775</v>
      </c>
      <c r="J163" s="18">
        <f t="shared" si="341"/>
        <v>7654.1666666666706</v>
      </c>
      <c r="K163" s="18">
        <f t="shared" si="342"/>
        <v>9741.6666666666606</v>
      </c>
      <c r="L163" s="18">
        <f t="shared" si="343"/>
        <v>11429.166666666659</v>
      </c>
      <c r="M163" s="18">
        <f t="shared" si="344"/>
        <v>14212.5</v>
      </c>
      <c r="N163" s="18">
        <f t="shared" si="345"/>
        <v>9347.0833333333358</v>
      </c>
      <c r="O163" s="18">
        <f t="shared" si="346"/>
        <v>10988</v>
      </c>
      <c r="P163" s="18">
        <f t="shared" si="347"/>
        <v>15153.333333333341</v>
      </c>
      <c r="Q163" s="18">
        <f t="shared" si="348"/>
        <v>15798.333333333341</v>
      </c>
      <c r="R163" s="18">
        <f t="shared" si="349"/>
        <v>22180</v>
      </c>
      <c r="S163" s="18">
        <f t="shared" si="350"/>
        <v>13437.5</v>
      </c>
      <c r="T163" s="18">
        <f t="shared" si="351"/>
        <v>16018.75</v>
      </c>
      <c r="U163" s="18">
        <f t="shared" si="352"/>
        <v>18766.366666666658</v>
      </c>
      <c r="V163" s="18">
        <f t="shared" si="353"/>
        <v>22347</v>
      </c>
      <c r="W163" s="18">
        <f t="shared" si="354"/>
        <v>28057.899999999991</v>
      </c>
      <c r="X163" s="18">
        <f t="shared" si="355"/>
        <v>31439.250000000004</v>
      </c>
      <c r="Y163" s="18">
        <f t="shared" si="356"/>
        <v>38150.833333333365</v>
      </c>
      <c r="Z163" s="18">
        <f t="shared" si="356"/>
        <v>27930</v>
      </c>
      <c r="AA163" s="18">
        <f t="shared" ref="AA163:AB163" si="362">AA162+(AA$174-AA$150)/24</f>
        <v>35910</v>
      </c>
      <c r="AB163" s="18">
        <f t="shared" si="362"/>
        <v>44605</v>
      </c>
      <c r="AC163" s="18">
        <f t="shared" si="355"/>
        <v>9783.3333333333412</v>
      </c>
      <c r="AD163" s="18">
        <f t="shared" ref="AD163:AR163" si="363">AD162+(AD$174-AD$150)/24</f>
        <v>11604.166666666659</v>
      </c>
      <c r="AE163" s="18">
        <f t="shared" si="363"/>
        <v>13600</v>
      </c>
      <c r="AF163" s="18">
        <f t="shared" si="363"/>
        <v>18000</v>
      </c>
      <c r="AG163" s="18">
        <f t="shared" si="363"/>
        <v>20300</v>
      </c>
      <c r="AH163" s="18">
        <f t="shared" ref="AH163:AK163" si="364">AH162+(AH$174-AH$150)/24</f>
        <v>12300</v>
      </c>
      <c r="AI163" s="18">
        <f t="shared" si="364"/>
        <v>13975</v>
      </c>
      <c r="AJ163" s="18">
        <f t="shared" si="364"/>
        <v>19354.166666666682</v>
      </c>
      <c r="AK163" s="18">
        <f t="shared" si="364"/>
        <v>22083.333333333318</v>
      </c>
      <c r="AL163" s="18">
        <f t="shared" si="363"/>
        <v>22000</v>
      </c>
      <c r="AM163" s="18">
        <f t="shared" si="363"/>
        <v>25000</v>
      </c>
      <c r="AN163" s="18">
        <f t="shared" si="363"/>
        <v>28600</v>
      </c>
      <c r="AO163" s="18">
        <f t="shared" si="363"/>
        <v>45000</v>
      </c>
      <c r="AP163" s="18">
        <f t="shared" si="363"/>
        <v>48000</v>
      </c>
      <c r="AQ163" s="18">
        <f t="shared" si="363"/>
        <v>54000</v>
      </c>
      <c r="AR163" s="18">
        <f t="shared" si="363"/>
        <v>147200</v>
      </c>
      <c r="AS163" s="18">
        <f t="shared" si="275"/>
        <v>31630.434782608696</v>
      </c>
      <c r="AT163" s="184" t="str">
        <f t="shared" si="280"/>
        <v/>
      </c>
      <c r="AU163" s="184" t="str">
        <f t="shared" si="281"/>
        <v/>
      </c>
      <c r="AV163" s="184" t="str">
        <f t="shared" si="282"/>
        <v/>
      </c>
      <c r="AW163" s="184" t="str">
        <f t="shared" si="283"/>
        <v/>
      </c>
      <c r="AX163" s="184" t="str">
        <f t="shared" si="284"/>
        <v/>
      </c>
      <c r="AY163" s="184" t="str">
        <f t="shared" si="285"/>
        <v/>
      </c>
      <c r="AZ163" s="184" t="str">
        <f t="shared" si="286"/>
        <v/>
      </c>
      <c r="BA163" s="184" t="str">
        <f t="shared" si="287"/>
        <v/>
      </c>
      <c r="BB163" s="184" t="str">
        <f t="shared" si="288"/>
        <v/>
      </c>
      <c r="BC163" s="184" t="str">
        <f t="shared" si="289"/>
        <v/>
      </c>
      <c r="BD163" s="184" t="str">
        <f t="shared" si="290"/>
        <v/>
      </c>
      <c r="BE163" s="184" t="str">
        <f t="shared" si="291"/>
        <v/>
      </c>
      <c r="BF163" s="184" t="str">
        <f t="shared" si="292"/>
        <v/>
      </c>
      <c r="BG163" s="184" t="str">
        <f t="shared" si="293"/>
        <v/>
      </c>
      <c r="BH163" s="184" t="str">
        <f t="shared" si="294"/>
        <v/>
      </c>
      <c r="BI163" s="184" t="str">
        <f t="shared" si="295"/>
        <v/>
      </c>
      <c r="BJ163" s="184" t="str">
        <f t="shared" si="296"/>
        <v/>
      </c>
      <c r="BK163" s="184" t="str">
        <f t="shared" si="297"/>
        <v/>
      </c>
      <c r="BL163" s="184" t="str">
        <f t="shared" si="298"/>
        <v/>
      </c>
      <c r="BM163" s="184" t="str">
        <f t="shared" si="299"/>
        <v/>
      </c>
      <c r="BN163" s="184" t="str">
        <f t="shared" si="300"/>
        <v/>
      </c>
      <c r="BO163" s="184" t="str">
        <f t="shared" si="301"/>
        <v/>
      </c>
      <c r="BP163" s="184" t="str">
        <f t="shared" si="302"/>
        <v/>
      </c>
      <c r="BQ163" s="184" t="str">
        <f t="shared" si="303"/>
        <v/>
      </c>
      <c r="BR163" s="184" t="str">
        <f t="shared" si="304"/>
        <v/>
      </c>
      <c r="BS163" s="184" t="str">
        <f t="shared" si="304"/>
        <v/>
      </c>
      <c r="BT163" s="184" t="str">
        <f t="shared" si="304"/>
        <v/>
      </c>
      <c r="BU163" s="184" t="str">
        <f t="shared" si="305"/>
        <v/>
      </c>
      <c r="BV163" s="184" t="str">
        <f t="shared" si="306"/>
        <v/>
      </c>
      <c r="BW163" s="184" t="str">
        <f t="shared" si="307"/>
        <v/>
      </c>
      <c r="BX163" s="184" t="str">
        <f t="shared" si="308"/>
        <v/>
      </c>
      <c r="BY163" s="184" t="str">
        <f t="shared" si="309"/>
        <v/>
      </c>
      <c r="BZ163" s="184" t="str">
        <f t="shared" si="310"/>
        <v/>
      </c>
      <c r="CA163" s="184" t="str">
        <f t="shared" si="311"/>
        <v/>
      </c>
      <c r="CB163" s="184" t="str">
        <f t="shared" si="312"/>
        <v/>
      </c>
      <c r="CC163" s="184" t="str">
        <f t="shared" si="313"/>
        <v/>
      </c>
      <c r="CD163" s="184" t="str">
        <f t="shared" si="314"/>
        <v/>
      </c>
      <c r="CE163" s="184" t="str">
        <f t="shared" si="315"/>
        <v/>
      </c>
      <c r="CF163" s="184" t="str">
        <f t="shared" si="316"/>
        <v/>
      </c>
      <c r="CG163" s="184" t="str">
        <f t="shared" si="317"/>
        <v/>
      </c>
      <c r="CH163" s="184" t="str">
        <f t="shared" si="318"/>
        <v/>
      </c>
      <c r="CI163" s="184" t="str">
        <f t="shared" si="319"/>
        <v/>
      </c>
      <c r="CJ163" s="184" t="str">
        <f t="shared" si="320"/>
        <v/>
      </c>
      <c r="CK163" s="184"/>
      <c r="CM163" s="184"/>
      <c r="CN163"/>
      <c r="CP163"/>
      <c r="CR163"/>
      <c r="CT163"/>
      <c r="CV163"/>
      <c r="CX163"/>
      <c r="CZ163"/>
      <c r="DB163"/>
      <c r="DD163"/>
      <c r="DF163"/>
      <c r="ED163" s="184"/>
      <c r="EF163" s="184"/>
      <c r="EH163" s="184"/>
      <c r="EJ163" s="184"/>
      <c r="EL163" s="184"/>
      <c r="EN163" s="184"/>
      <c r="EP163" s="184"/>
      <c r="ER163" s="184"/>
      <c r="ET163" s="184"/>
      <c r="EV163" s="184"/>
      <c r="EX163" s="184"/>
      <c r="EZ163" s="184"/>
      <c r="FB163" s="184"/>
    </row>
    <row r="164" spans="1:158">
      <c r="A164" s="184">
        <f t="shared" si="276"/>
        <v>12</v>
      </c>
      <c r="B164" s="18">
        <f t="shared" si="325"/>
        <v>5908.3333333333376</v>
      </c>
      <c r="C164" s="18">
        <f t="shared" si="360"/>
        <v>7750</v>
      </c>
      <c r="D164" s="18">
        <f t="shared" si="361"/>
        <v>10233.333333333327</v>
      </c>
      <c r="E164" s="18">
        <f t="shared" si="336"/>
        <v>11600</v>
      </c>
      <c r="F164" s="18">
        <f t="shared" si="337"/>
        <v>5616.6666666666624</v>
      </c>
      <c r="G164" s="18">
        <f t="shared" si="338"/>
        <v>7341.6666666666624</v>
      </c>
      <c r="H164" s="18">
        <f t="shared" si="339"/>
        <v>10291.666666666673</v>
      </c>
      <c r="I164" s="18">
        <f t="shared" si="340"/>
        <v>5850</v>
      </c>
      <c r="J164" s="18">
        <f t="shared" si="341"/>
        <v>7758.3333333333376</v>
      </c>
      <c r="K164" s="18">
        <f t="shared" si="342"/>
        <v>9883.3333333333267</v>
      </c>
      <c r="L164" s="18">
        <f t="shared" si="343"/>
        <v>11608.333333333325</v>
      </c>
      <c r="M164" s="18">
        <f t="shared" si="344"/>
        <v>14375</v>
      </c>
      <c r="N164" s="18">
        <f t="shared" si="345"/>
        <v>9479.1666666666697</v>
      </c>
      <c r="O164" s="18">
        <f t="shared" si="346"/>
        <v>11080</v>
      </c>
      <c r="P164" s="18">
        <f t="shared" si="347"/>
        <v>15266.666666666675</v>
      </c>
      <c r="Q164" s="18">
        <f t="shared" si="348"/>
        <v>16016.666666666675</v>
      </c>
      <c r="R164" s="18">
        <f t="shared" si="349"/>
        <v>22400</v>
      </c>
      <c r="S164" s="18">
        <f t="shared" si="350"/>
        <v>13625</v>
      </c>
      <c r="T164" s="18">
        <f t="shared" si="351"/>
        <v>16212.5</v>
      </c>
      <c r="U164" s="18">
        <f t="shared" si="352"/>
        <v>18999.933333333323</v>
      </c>
      <c r="V164" s="18">
        <f t="shared" si="353"/>
        <v>22626</v>
      </c>
      <c r="W164" s="18">
        <f t="shared" si="354"/>
        <v>28408.19999999999</v>
      </c>
      <c r="X164" s="18">
        <f t="shared" si="355"/>
        <v>31531.500000000004</v>
      </c>
      <c r="Y164" s="18">
        <f t="shared" si="356"/>
        <v>38591.666666666701</v>
      </c>
      <c r="Z164" s="18">
        <f t="shared" si="356"/>
        <v>28140</v>
      </c>
      <c r="AA164" s="18">
        <f t="shared" ref="AA164:AB164" si="365">AA163+(AA$174-AA$150)/24</f>
        <v>36180</v>
      </c>
      <c r="AB164" s="18">
        <f t="shared" si="365"/>
        <v>44990</v>
      </c>
      <c r="AC164" s="18">
        <f t="shared" si="355"/>
        <v>9866.6666666666752</v>
      </c>
      <c r="AD164" s="18">
        <f t="shared" ref="AD164:AR164" si="366">AD163+(AD$174-AD$150)/24</f>
        <v>11658.333333333325</v>
      </c>
      <c r="AE164" s="18">
        <f t="shared" si="366"/>
        <v>13600</v>
      </c>
      <c r="AF164" s="18">
        <f t="shared" si="366"/>
        <v>18000</v>
      </c>
      <c r="AG164" s="18">
        <f t="shared" si="366"/>
        <v>20300</v>
      </c>
      <c r="AH164" s="18">
        <f t="shared" ref="AH164:AK164" si="367">AH163+(AH$174-AH$150)/24</f>
        <v>12400</v>
      </c>
      <c r="AI164" s="18">
        <f t="shared" si="367"/>
        <v>14050</v>
      </c>
      <c r="AJ164" s="18">
        <f t="shared" si="367"/>
        <v>19458.33333333335</v>
      </c>
      <c r="AK164" s="18">
        <f t="shared" si="367"/>
        <v>22166.66666666665</v>
      </c>
      <c r="AL164" s="18">
        <f t="shared" si="366"/>
        <v>22000</v>
      </c>
      <c r="AM164" s="18">
        <f t="shared" si="366"/>
        <v>25000</v>
      </c>
      <c r="AN164" s="18">
        <f t="shared" si="366"/>
        <v>28600</v>
      </c>
      <c r="AO164" s="18">
        <f t="shared" si="366"/>
        <v>45000</v>
      </c>
      <c r="AP164" s="18">
        <f t="shared" si="366"/>
        <v>48000</v>
      </c>
      <c r="AQ164" s="18">
        <f t="shared" si="366"/>
        <v>54000</v>
      </c>
      <c r="AR164" s="18">
        <f t="shared" si="366"/>
        <v>147200</v>
      </c>
      <c r="AS164" s="18">
        <f t="shared" si="275"/>
        <v>31304.347826086956</v>
      </c>
      <c r="AT164" s="184" t="str">
        <f t="shared" si="280"/>
        <v/>
      </c>
      <c r="AU164" s="184" t="str">
        <f t="shared" si="281"/>
        <v/>
      </c>
      <c r="AV164" s="184" t="str">
        <f t="shared" si="282"/>
        <v/>
      </c>
      <c r="AW164" s="184" t="str">
        <f t="shared" si="283"/>
        <v/>
      </c>
      <c r="AX164" s="184" t="str">
        <f t="shared" si="284"/>
        <v/>
      </c>
      <c r="AY164" s="184" t="str">
        <f t="shared" si="285"/>
        <v/>
      </c>
      <c r="AZ164" s="184" t="str">
        <f t="shared" si="286"/>
        <v/>
      </c>
      <c r="BA164" s="184" t="str">
        <f t="shared" si="287"/>
        <v/>
      </c>
      <c r="BB164" s="184" t="str">
        <f t="shared" si="288"/>
        <v/>
      </c>
      <c r="BC164" s="184" t="str">
        <f t="shared" si="289"/>
        <v/>
      </c>
      <c r="BD164" s="184" t="str">
        <f t="shared" si="290"/>
        <v/>
      </c>
      <c r="BE164" s="184" t="str">
        <f t="shared" si="291"/>
        <v/>
      </c>
      <c r="BF164" s="184" t="str">
        <f t="shared" si="292"/>
        <v/>
      </c>
      <c r="BG164" s="184" t="str">
        <f t="shared" si="293"/>
        <v/>
      </c>
      <c r="BH164" s="184" t="str">
        <f t="shared" si="294"/>
        <v/>
      </c>
      <c r="BI164" s="184" t="str">
        <f t="shared" si="295"/>
        <v/>
      </c>
      <c r="BJ164" s="184" t="str">
        <f t="shared" si="296"/>
        <v/>
      </c>
      <c r="BK164" s="184" t="str">
        <f t="shared" si="297"/>
        <v/>
      </c>
      <c r="BL164" s="184" t="str">
        <f t="shared" si="298"/>
        <v/>
      </c>
      <c r="BM164" s="184" t="str">
        <f t="shared" si="299"/>
        <v/>
      </c>
      <c r="BN164" s="184" t="str">
        <f t="shared" si="300"/>
        <v/>
      </c>
      <c r="BO164" s="184" t="str">
        <f t="shared" si="301"/>
        <v/>
      </c>
      <c r="BP164" s="184">
        <f t="shared" si="302"/>
        <v>1</v>
      </c>
      <c r="BQ164" s="184" t="str">
        <f t="shared" si="303"/>
        <v/>
      </c>
      <c r="BR164" s="184" t="str">
        <f t="shared" si="304"/>
        <v/>
      </c>
      <c r="BS164" s="184" t="str">
        <f t="shared" si="304"/>
        <v/>
      </c>
      <c r="BT164" s="184" t="str">
        <f t="shared" si="304"/>
        <v/>
      </c>
      <c r="BU164" s="184" t="str">
        <f t="shared" si="305"/>
        <v/>
      </c>
      <c r="BV164" s="184" t="str">
        <f t="shared" si="306"/>
        <v/>
      </c>
      <c r="BW164" s="184" t="str">
        <f t="shared" si="307"/>
        <v/>
      </c>
      <c r="BX164" s="184" t="str">
        <f t="shared" si="308"/>
        <v/>
      </c>
      <c r="BY164" s="184" t="str">
        <f t="shared" si="309"/>
        <v/>
      </c>
      <c r="BZ164" s="184" t="str">
        <f t="shared" si="310"/>
        <v/>
      </c>
      <c r="CA164" s="184" t="str">
        <f t="shared" si="311"/>
        <v/>
      </c>
      <c r="CB164" s="184" t="str">
        <f t="shared" si="312"/>
        <v/>
      </c>
      <c r="CC164" s="184" t="str">
        <f t="shared" si="313"/>
        <v/>
      </c>
      <c r="CD164" s="184" t="str">
        <f t="shared" si="314"/>
        <v/>
      </c>
      <c r="CE164" s="184" t="str">
        <f t="shared" si="315"/>
        <v/>
      </c>
      <c r="CF164" s="184" t="str">
        <f t="shared" si="316"/>
        <v/>
      </c>
      <c r="CG164" s="184" t="str">
        <f t="shared" si="317"/>
        <v/>
      </c>
      <c r="CH164" s="184" t="str">
        <f t="shared" si="318"/>
        <v/>
      </c>
      <c r="CI164" s="184" t="str">
        <f t="shared" si="319"/>
        <v/>
      </c>
      <c r="CJ164" s="184" t="str">
        <f t="shared" si="320"/>
        <v/>
      </c>
      <c r="CK164" s="184"/>
      <c r="CM164" s="184"/>
      <c r="CN164"/>
      <c r="CP164"/>
      <c r="CR164"/>
      <c r="CT164"/>
      <c r="CV164"/>
      <c r="CX164"/>
      <c r="CZ164"/>
      <c r="DB164"/>
      <c r="DD164"/>
      <c r="DF164"/>
      <c r="ED164" s="184"/>
      <c r="EF164" s="184"/>
      <c r="EH164" s="184"/>
      <c r="EJ164" s="184"/>
      <c r="EL164" s="184"/>
      <c r="EN164" s="184"/>
      <c r="EP164" s="184"/>
      <c r="ER164" s="184"/>
      <c r="ET164" s="184"/>
      <c r="EV164" s="184"/>
      <c r="EX164" s="184"/>
      <c r="EZ164" s="184"/>
      <c r="FB164" s="184"/>
    </row>
    <row r="165" spans="1:158">
      <c r="A165" s="184">
        <f t="shared" ref="A165:A228" si="368">A164+0.5</f>
        <v>12.5</v>
      </c>
      <c r="B165" s="18">
        <f t="shared" si="325"/>
        <v>5987.5000000000045</v>
      </c>
      <c r="C165" s="18">
        <f t="shared" si="360"/>
        <v>7875</v>
      </c>
      <c r="D165" s="18">
        <f t="shared" si="361"/>
        <v>10399.999999999993</v>
      </c>
      <c r="E165" s="18">
        <f t="shared" si="336"/>
        <v>11750</v>
      </c>
      <c r="F165" s="18">
        <f t="shared" si="337"/>
        <v>5674.9999999999955</v>
      </c>
      <c r="G165" s="18">
        <f t="shared" si="338"/>
        <v>7437.4999999999955</v>
      </c>
      <c r="H165" s="18">
        <f t="shared" si="339"/>
        <v>10462.500000000007</v>
      </c>
      <c r="I165" s="18">
        <f t="shared" si="340"/>
        <v>5925</v>
      </c>
      <c r="J165" s="18">
        <f t="shared" si="341"/>
        <v>7862.5000000000045</v>
      </c>
      <c r="K165" s="18">
        <f t="shared" si="342"/>
        <v>10024.999999999993</v>
      </c>
      <c r="L165" s="18">
        <f t="shared" si="343"/>
        <v>11787.499999999991</v>
      </c>
      <c r="M165" s="18">
        <f t="shared" si="344"/>
        <v>14537.5</v>
      </c>
      <c r="N165" s="18">
        <f t="shared" si="345"/>
        <v>9611.2500000000036</v>
      </c>
      <c r="O165" s="18">
        <f t="shared" si="346"/>
        <v>11172</v>
      </c>
      <c r="P165" s="18">
        <f t="shared" si="347"/>
        <v>15380.000000000009</v>
      </c>
      <c r="Q165" s="18">
        <f t="shared" si="348"/>
        <v>16235.000000000009</v>
      </c>
      <c r="R165" s="18">
        <f t="shared" si="349"/>
        <v>22620</v>
      </c>
      <c r="S165" s="18">
        <f t="shared" si="350"/>
        <v>13812.5</v>
      </c>
      <c r="T165" s="18">
        <f t="shared" si="351"/>
        <v>16406.25</v>
      </c>
      <c r="U165" s="18">
        <f t="shared" si="352"/>
        <v>19233.499999999989</v>
      </c>
      <c r="V165" s="18">
        <f t="shared" si="353"/>
        <v>22905</v>
      </c>
      <c r="W165" s="18">
        <f t="shared" si="354"/>
        <v>28758.499999999989</v>
      </c>
      <c r="X165" s="18">
        <f t="shared" si="355"/>
        <v>31623.750000000004</v>
      </c>
      <c r="Y165" s="18">
        <f t="shared" si="356"/>
        <v>39032.500000000036</v>
      </c>
      <c r="Z165" s="18">
        <f t="shared" si="356"/>
        <v>28350</v>
      </c>
      <c r="AA165" s="18">
        <f t="shared" ref="AA165:AB165" si="369">AA164+(AA$174-AA$150)/24</f>
        <v>36450</v>
      </c>
      <c r="AB165" s="18">
        <f t="shared" si="369"/>
        <v>45375</v>
      </c>
      <c r="AC165" s="18">
        <f t="shared" si="355"/>
        <v>9950.0000000000091</v>
      </c>
      <c r="AD165" s="18">
        <f t="shared" ref="AD165:AR165" si="370">AD164+(AD$174-AD$150)/24</f>
        <v>11712.499999999991</v>
      </c>
      <c r="AE165" s="18">
        <f t="shared" si="370"/>
        <v>13600</v>
      </c>
      <c r="AF165" s="18">
        <f t="shared" si="370"/>
        <v>18000</v>
      </c>
      <c r="AG165" s="18">
        <f t="shared" si="370"/>
        <v>20300</v>
      </c>
      <c r="AH165" s="18">
        <f t="shared" ref="AH165:AK165" si="371">AH164+(AH$174-AH$150)/24</f>
        <v>12500</v>
      </c>
      <c r="AI165" s="18">
        <f t="shared" si="371"/>
        <v>14125</v>
      </c>
      <c r="AJ165" s="18">
        <f t="shared" si="371"/>
        <v>19562.500000000018</v>
      </c>
      <c r="AK165" s="18">
        <f t="shared" si="371"/>
        <v>22249.999999999982</v>
      </c>
      <c r="AL165" s="18">
        <f t="shared" si="370"/>
        <v>22000</v>
      </c>
      <c r="AM165" s="18">
        <f t="shared" si="370"/>
        <v>25000</v>
      </c>
      <c r="AN165" s="18">
        <f t="shared" si="370"/>
        <v>28600</v>
      </c>
      <c r="AO165" s="18">
        <f t="shared" si="370"/>
        <v>45000</v>
      </c>
      <c r="AP165" s="18">
        <f t="shared" si="370"/>
        <v>48000</v>
      </c>
      <c r="AQ165" s="18">
        <f t="shared" si="370"/>
        <v>54000</v>
      </c>
      <c r="AR165" s="18">
        <f t="shared" si="370"/>
        <v>147200</v>
      </c>
      <c r="AS165" s="18">
        <f t="shared" si="275"/>
        <v>30978.260869565216</v>
      </c>
      <c r="AT165" s="184" t="str">
        <f t="shared" si="280"/>
        <v/>
      </c>
      <c r="AU165" s="184" t="str">
        <f t="shared" si="281"/>
        <v/>
      </c>
      <c r="AV165" s="184" t="str">
        <f t="shared" si="282"/>
        <v/>
      </c>
      <c r="AW165" s="184" t="str">
        <f t="shared" si="283"/>
        <v/>
      </c>
      <c r="AX165" s="184" t="str">
        <f t="shared" si="284"/>
        <v/>
      </c>
      <c r="AY165" s="184" t="str">
        <f t="shared" si="285"/>
        <v/>
      </c>
      <c r="AZ165" s="184" t="str">
        <f t="shared" si="286"/>
        <v/>
      </c>
      <c r="BA165" s="184" t="str">
        <f t="shared" si="287"/>
        <v/>
      </c>
      <c r="BB165" s="184" t="str">
        <f t="shared" si="288"/>
        <v/>
      </c>
      <c r="BC165" s="184" t="str">
        <f t="shared" si="289"/>
        <v/>
      </c>
      <c r="BD165" s="184" t="str">
        <f t="shared" si="290"/>
        <v/>
      </c>
      <c r="BE165" s="184" t="str">
        <f t="shared" si="291"/>
        <v/>
      </c>
      <c r="BF165" s="184" t="str">
        <f t="shared" si="292"/>
        <v/>
      </c>
      <c r="BG165" s="184" t="str">
        <f t="shared" si="293"/>
        <v/>
      </c>
      <c r="BH165" s="184" t="str">
        <f t="shared" si="294"/>
        <v/>
      </c>
      <c r="BI165" s="184" t="str">
        <f t="shared" si="295"/>
        <v/>
      </c>
      <c r="BJ165" s="184" t="str">
        <f t="shared" si="296"/>
        <v/>
      </c>
      <c r="BK165" s="184" t="str">
        <f t="shared" si="297"/>
        <v/>
      </c>
      <c r="BL165" s="184" t="str">
        <f t="shared" si="298"/>
        <v/>
      </c>
      <c r="BM165" s="184" t="str">
        <f t="shared" si="299"/>
        <v/>
      </c>
      <c r="BN165" s="184" t="str">
        <f t="shared" si="300"/>
        <v/>
      </c>
      <c r="BO165" s="184" t="str">
        <f t="shared" si="301"/>
        <v/>
      </c>
      <c r="BP165" s="184" t="str">
        <f t="shared" si="302"/>
        <v/>
      </c>
      <c r="BQ165" s="184" t="str">
        <f t="shared" si="303"/>
        <v/>
      </c>
      <c r="BR165" s="184" t="str">
        <f t="shared" si="304"/>
        <v/>
      </c>
      <c r="BS165" s="184" t="str">
        <f t="shared" si="304"/>
        <v/>
      </c>
      <c r="BT165" s="184" t="str">
        <f t="shared" si="304"/>
        <v/>
      </c>
      <c r="BU165" s="184" t="str">
        <f t="shared" si="305"/>
        <v/>
      </c>
      <c r="BV165" s="184" t="str">
        <f t="shared" si="306"/>
        <v/>
      </c>
      <c r="BW165" s="184" t="str">
        <f t="shared" si="307"/>
        <v/>
      </c>
      <c r="BX165" s="184" t="str">
        <f t="shared" si="308"/>
        <v/>
      </c>
      <c r="BY165" s="184" t="str">
        <f t="shared" si="309"/>
        <v/>
      </c>
      <c r="BZ165" s="184" t="str">
        <f t="shared" si="310"/>
        <v/>
      </c>
      <c r="CA165" s="184" t="str">
        <f t="shared" si="311"/>
        <v/>
      </c>
      <c r="CB165" s="184" t="str">
        <f t="shared" si="312"/>
        <v/>
      </c>
      <c r="CC165" s="184" t="str">
        <f t="shared" si="313"/>
        <v/>
      </c>
      <c r="CD165" s="184" t="str">
        <f t="shared" si="314"/>
        <v/>
      </c>
      <c r="CE165" s="184" t="str">
        <f t="shared" si="315"/>
        <v/>
      </c>
      <c r="CF165" s="184" t="str">
        <f t="shared" si="316"/>
        <v/>
      </c>
      <c r="CG165" s="184" t="str">
        <f t="shared" si="317"/>
        <v/>
      </c>
      <c r="CH165" s="184" t="str">
        <f t="shared" si="318"/>
        <v/>
      </c>
      <c r="CI165" s="184" t="str">
        <f t="shared" si="319"/>
        <v/>
      </c>
      <c r="CJ165" s="184" t="str">
        <f t="shared" si="320"/>
        <v/>
      </c>
      <c r="CK165" s="184"/>
      <c r="CM165" s="184"/>
      <c r="CN165"/>
      <c r="CP165"/>
      <c r="CR165"/>
      <c r="CT165"/>
      <c r="CV165"/>
      <c r="CX165"/>
      <c r="CZ165"/>
      <c r="DB165"/>
      <c r="DD165"/>
      <c r="DF165"/>
      <c r="ED165" s="184"/>
      <c r="EF165" s="184"/>
      <c r="EH165" s="184"/>
      <c r="EJ165" s="184"/>
      <c r="EL165" s="184"/>
      <c r="EN165" s="184"/>
      <c r="EP165" s="184"/>
      <c r="ER165" s="184"/>
      <c r="ET165" s="184"/>
      <c r="EV165" s="184"/>
      <c r="EX165" s="184"/>
      <c r="EZ165" s="184"/>
      <c r="FB165" s="184"/>
    </row>
    <row r="166" spans="1:158">
      <c r="A166" s="184">
        <f t="shared" si="368"/>
        <v>13</v>
      </c>
      <c r="B166" s="18">
        <f t="shared" si="325"/>
        <v>6066.6666666666715</v>
      </c>
      <c r="C166" s="18">
        <f t="shared" si="360"/>
        <v>8000</v>
      </c>
      <c r="D166" s="18">
        <f t="shared" si="361"/>
        <v>10566.666666666659</v>
      </c>
      <c r="E166" s="18">
        <f t="shared" si="336"/>
        <v>11900</v>
      </c>
      <c r="F166" s="18">
        <f t="shared" si="337"/>
        <v>5733.3333333333285</v>
      </c>
      <c r="G166" s="18">
        <f t="shared" si="338"/>
        <v>7533.3333333333285</v>
      </c>
      <c r="H166" s="18">
        <f t="shared" si="339"/>
        <v>10633.333333333341</v>
      </c>
      <c r="I166" s="18">
        <f t="shared" si="340"/>
        <v>6000</v>
      </c>
      <c r="J166" s="18">
        <f t="shared" si="341"/>
        <v>7966.6666666666715</v>
      </c>
      <c r="K166" s="18">
        <f t="shared" si="342"/>
        <v>10166.666666666659</v>
      </c>
      <c r="L166" s="18">
        <f t="shared" si="343"/>
        <v>11966.666666666657</v>
      </c>
      <c r="M166" s="18">
        <f t="shared" si="344"/>
        <v>14700</v>
      </c>
      <c r="N166" s="18">
        <f t="shared" si="345"/>
        <v>9743.3333333333376</v>
      </c>
      <c r="O166" s="18">
        <f t="shared" si="346"/>
        <v>11264</v>
      </c>
      <c r="P166" s="18">
        <f t="shared" si="347"/>
        <v>15493.333333333343</v>
      </c>
      <c r="Q166" s="18">
        <f t="shared" si="348"/>
        <v>16453.333333333343</v>
      </c>
      <c r="R166" s="18">
        <f t="shared" si="349"/>
        <v>22840</v>
      </c>
      <c r="S166" s="18">
        <f t="shared" si="350"/>
        <v>14000</v>
      </c>
      <c r="T166" s="18">
        <f t="shared" si="351"/>
        <v>16600</v>
      </c>
      <c r="U166" s="18">
        <f t="shared" si="352"/>
        <v>19467.066666666655</v>
      </c>
      <c r="V166" s="18">
        <f t="shared" si="353"/>
        <v>23184</v>
      </c>
      <c r="W166" s="18">
        <f t="shared" si="354"/>
        <v>29108.799999999988</v>
      </c>
      <c r="X166" s="18">
        <f t="shared" si="355"/>
        <v>31716.000000000004</v>
      </c>
      <c r="Y166" s="18">
        <f t="shared" si="356"/>
        <v>39473.333333333372</v>
      </c>
      <c r="Z166" s="18">
        <f t="shared" si="356"/>
        <v>28560</v>
      </c>
      <c r="AA166" s="18">
        <f t="shared" ref="AA166:AB166" si="372">AA165+(AA$174-AA$150)/24</f>
        <v>36720</v>
      </c>
      <c r="AB166" s="18">
        <f t="shared" si="372"/>
        <v>45760</v>
      </c>
      <c r="AC166" s="18">
        <f t="shared" si="355"/>
        <v>10033.333333333343</v>
      </c>
      <c r="AD166" s="18">
        <f t="shared" ref="AD166:AR166" si="373">AD165+(AD$174-AD$150)/24</f>
        <v>11766.666666666657</v>
      </c>
      <c r="AE166" s="18">
        <f t="shared" si="373"/>
        <v>13600</v>
      </c>
      <c r="AF166" s="18">
        <f t="shared" si="373"/>
        <v>18000</v>
      </c>
      <c r="AG166" s="18">
        <f t="shared" si="373"/>
        <v>20300</v>
      </c>
      <c r="AH166" s="18">
        <f t="shared" ref="AH166:AK166" si="374">AH165+(AH$174-AH$150)/24</f>
        <v>12600</v>
      </c>
      <c r="AI166" s="18">
        <f t="shared" si="374"/>
        <v>14200</v>
      </c>
      <c r="AJ166" s="18">
        <f t="shared" si="374"/>
        <v>19666.666666666686</v>
      </c>
      <c r="AK166" s="18">
        <f t="shared" si="374"/>
        <v>22333.333333333314</v>
      </c>
      <c r="AL166" s="18">
        <f t="shared" si="373"/>
        <v>22000</v>
      </c>
      <c r="AM166" s="18">
        <f t="shared" si="373"/>
        <v>25000</v>
      </c>
      <c r="AN166" s="18">
        <f t="shared" si="373"/>
        <v>28600</v>
      </c>
      <c r="AO166" s="18">
        <f t="shared" si="373"/>
        <v>45000</v>
      </c>
      <c r="AP166" s="18">
        <f t="shared" si="373"/>
        <v>48000</v>
      </c>
      <c r="AQ166" s="18">
        <f t="shared" si="373"/>
        <v>54000</v>
      </c>
      <c r="AR166" s="18">
        <f t="shared" si="373"/>
        <v>147200</v>
      </c>
      <c r="AS166" s="18">
        <f t="shared" si="275"/>
        <v>30652.17391304348</v>
      </c>
      <c r="AT166" s="184" t="str">
        <f t="shared" si="280"/>
        <v/>
      </c>
      <c r="AU166" s="184" t="str">
        <f t="shared" si="281"/>
        <v/>
      </c>
      <c r="AV166" s="184" t="str">
        <f t="shared" si="282"/>
        <v/>
      </c>
      <c r="AW166" s="184" t="str">
        <f t="shared" si="283"/>
        <v/>
      </c>
      <c r="AX166" s="184" t="str">
        <f t="shared" si="284"/>
        <v/>
      </c>
      <c r="AY166" s="184" t="str">
        <f t="shared" si="285"/>
        <v/>
      </c>
      <c r="AZ166" s="184" t="str">
        <f t="shared" si="286"/>
        <v/>
      </c>
      <c r="BA166" s="184" t="str">
        <f t="shared" si="287"/>
        <v/>
      </c>
      <c r="BB166" s="184" t="str">
        <f t="shared" si="288"/>
        <v/>
      </c>
      <c r="BC166" s="184" t="str">
        <f t="shared" si="289"/>
        <v/>
      </c>
      <c r="BD166" s="184" t="str">
        <f t="shared" si="290"/>
        <v/>
      </c>
      <c r="BE166" s="184" t="str">
        <f t="shared" si="291"/>
        <v/>
      </c>
      <c r="BF166" s="184" t="str">
        <f t="shared" si="292"/>
        <v/>
      </c>
      <c r="BG166" s="184" t="str">
        <f t="shared" si="293"/>
        <v/>
      </c>
      <c r="BH166" s="184" t="str">
        <f t="shared" si="294"/>
        <v/>
      </c>
      <c r="BI166" s="184" t="str">
        <f t="shared" si="295"/>
        <v/>
      </c>
      <c r="BJ166" s="184" t="str">
        <f t="shared" si="296"/>
        <v/>
      </c>
      <c r="BK166" s="184" t="str">
        <f t="shared" si="297"/>
        <v/>
      </c>
      <c r="BL166" s="184" t="str">
        <f t="shared" si="298"/>
        <v/>
      </c>
      <c r="BM166" s="184" t="str">
        <f t="shared" si="299"/>
        <v/>
      </c>
      <c r="BN166" s="184" t="str">
        <f t="shared" si="300"/>
        <v/>
      </c>
      <c r="BO166" s="184" t="str">
        <f t="shared" si="301"/>
        <v/>
      </c>
      <c r="BP166" s="184" t="str">
        <f t="shared" si="302"/>
        <v/>
      </c>
      <c r="BQ166" s="184" t="str">
        <f t="shared" si="303"/>
        <v/>
      </c>
      <c r="BR166" s="184" t="str">
        <f t="shared" ref="BR166:BT181" si="375">IF(AND(Z166&gt;=$AS166,Z165&lt;$AS165),1,"")</f>
        <v/>
      </c>
      <c r="BS166" s="184" t="str">
        <f t="shared" si="375"/>
        <v/>
      </c>
      <c r="BT166" s="184" t="str">
        <f t="shared" si="375"/>
        <v/>
      </c>
      <c r="BU166" s="184" t="str">
        <f t="shared" si="305"/>
        <v/>
      </c>
      <c r="BV166" s="184" t="str">
        <f t="shared" si="306"/>
        <v/>
      </c>
      <c r="BW166" s="184" t="str">
        <f t="shared" si="307"/>
        <v/>
      </c>
      <c r="BX166" s="184" t="str">
        <f t="shared" si="308"/>
        <v/>
      </c>
      <c r="BY166" s="184" t="str">
        <f t="shared" si="309"/>
        <v/>
      </c>
      <c r="BZ166" s="184" t="str">
        <f t="shared" si="310"/>
        <v/>
      </c>
      <c r="CA166" s="184" t="str">
        <f t="shared" si="311"/>
        <v/>
      </c>
      <c r="CB166" s="184" t="str">
        <f t="shared" si="312"/>
        <v/>
      </c>
      <c r="CC166" s="184" t="str">
        <f t="shared" si="313"/>
        <v/>
      </c>
      <c r="CD166" s="184" t="str">
        <f t="shared" si="314"/>
        <v/>
      </c>
      <c r="CE166" s="184" t="str">
        <f t="shared" si="315"/>
        <v/>
      </c>
      <c r="CF166" s="184" t="str">
        <f t="shared" si="316"/>
        <v/>
      </c>
      <c r="CG166" s="184" t="str">
        <f t="shared" si="317"/>
        <v/>
      </c>
      <c r="CH166" s="184" t="str">
        <f t="shared" si="318"/>
        <v/>
      </c>
      <c r="CI166" s="184" t="str">
        <f t="shared" si="319"/>
        <v/>
      </c>
      <c r="CJ166" s="184" t="str">
        <f t="shared" si="320"/>
        <v/>
      </c>
      <c r="CK166" s="184"/>
      <c r="CM166" s="184"/>
      <c r="CN166"/>
      <c r="CP166"/>
      <c r="CR166"/>
      <c r="CT166"/>
      <c r="CV166"/>
      <c r="CX166"/>
      <c r="CZ166"/>
      <c r="DB166"/>
      <c r="DD166"/>
      <c r="DF166"/>
      <c r="ED166" s="184"/>
      <c r="EF166" s="184"/>
      <c r="EH166" s="184"/>
      <c r="EJ166" s="184"/>
      <c r="EL166" s="184"/>
      <c r="EN166" s="184"/>
      <c r="EP166" s="184"/>
      <c r="ER166" s="184"/>
      <c r="ET166" s="184"/>
      <c r="EV166" s="184"/>
      <c r="EX166" s="184"/>
      <c r="EZ166" s="184"/>
      <c r="FB166" s="184"/>
    </row>
    <row r="167" spans="1:158">
      <c r="A167" s="184">
        <f t="shared" si="368"/>
        <v>13.5</v>
      </c>
      <c r="B167" s="18">
        <f t="shared" si="325"/>
        <v>6145.8333333333385</v>
      </c>
      <c r="C167" s="18">
        <f t="shared" si="360"/>
        <v>8125</v>
      </c>
      <c r="D167" s="18">
        <f t="shared" si="361"/>
        <v>10733.333333333325</v>
      </c>
      <c r="E167" s="18">
        <f t="shared" si="336"/>
        <v>12050</v>
      </c>
      <c r="F167" s="18">
        <f t="shared" si="337"/>
        <v>5791.6666666666615</v>
      </c>
      <c r="G167" s="18">
        <f t="shared" si="338"/>
        <v>7629.1666666666615</v>
      </c>
      <c r="H167" s="18">
        <f t="shared" si="339"/>
        <v>10804.166666666675</v>
      </c>
      <c r="I167" s="18">
        <f t="shared" si="340"/>
        <v>6075</v>
      </c>
      <c r="J167" s="18">
        <f t="shared" si="341"/>
        <v>8070.8333333333385</v>
      </c>
      <c r="K167" s="18">
        <f t="shared" si="342"/>
        <v>10308.333333333325</v>
      </c>
      <c r="L167" s="18">
        <f t="shared" si="343"/>
        <v>12145.833333333323</v>
      </c>
      <c r="M167" s="18">
        <f t="shared" si="344"/>
        <v>14862.5</v>
      </c>
      <c r="N167" s="18">
        <f t="shared" si="345"/>
        <v>9875.4166666666715</v>
      </c>
      <c r="O167" s="18">
        <f t="shared" si="346"/>
        <v>11356</v>
      </c>
      <c r="P167" s="18">
        <f t="shared" si="347"/>
        <v>15606.666666666677</v>
      </c>
      <c r="Q167" s="18">
        <f t="shared" si="348"/>
        <v>16671.666666666675</v>
      </c>
      <c r="R167" s="18">
        <f t="shared" si="349"/>
        <v>23060</v>
      </c>
      <c r="S167" s="18">
        <f t="shared" si="350"/>
        <v>14187.5</v>
      </c>
      <c r="T167" s="18">
        <f t="shared" si="351"/>
        <v>16793.75</v>
      </c>
      <c r="U167" s="18">
        <f t="shared" si="352"/>
        <v>19700.63333333332</v>
      </c>
      <c r="V167" s="18">
        <f t="shared" si="353"/>
        <v>23463</v>
      </c>
      <c r="W167" s="18">
        <f t="shared" si="354"/>
        <v>29459.099999999988</v>
      </c>
      <c r="X167" s="18">
        <f t="shared" si="355"/>
        <v>31808.250000000004</v>
      </c>
      <c r="Y167" s="18">
        <f t="shared" si="356"/>
        <v>39914.166666666708</v>
      </c>
      <c r="Z167" s="18">
        <f t="shared" si="356"/>
        <v>28770</v>
      </c>
      <c r="AA167" s="18">
        <f t="shared" ref="AA167:AB167" si="376">AA166+(AA$174-AA$150)/24</f>
        <v>36990</v>
      </c>
      <c r="AB167" s="18">
        <f t="shared" si="376"/>
        <v>46145</v>
      </c>
      <c r="AC167" s="18">
        <f t="shared" si="355"/>
        <v>10116.666666666677</v>
      </c>
      <c r="AD167" s="18">
        <f t="shared" ref="AD167:AR167" si="377">AD166+(AD$174-AD$150)/24</f>
        <v>11820.833333333323</v>
      </c>
      <c r="AE167" s="18">
        <f t="shared" si="377"/>
        <v>13600</v>
      </c>
      <c r="AF167" s="18">
        <f t="shared" si="377"/>
        <v>18000</v>
      </c>
      <c r="AG167" s="18">
        <f t="shared" si="377"/>
        <v>20300</v>
      </c>
      <c r="AH167" s="18">
        <f t="shared" ref="AH167:AK167" si="378">AH166+(AH$174-AH$150)/24</f>
        <v>12700</v>
      </c>
      <c r="AI167" s="18">
        <f t="shared" si="378"/>
        <v>14275</v>
      </c>
      <c r="AJ167" s="18">
        <f t="shared" si="378"/>
        <v>19770.833333333354</v>
      </c>
      <c r="AK167" s="18">
        <f t="shared" si="378"/>
        <v>22416.666666666646</v>
      </c>
      <c r="AL167" s="18">
        <f t="shared" si="377"/>
        <v>22000</v>
      </c>
      <c r="AM167" s="18">
        <f t="shared" si="377"/>
        <v>25000</v>
      </c>
      <c r="AN167" s="18">
        <f t="shared" si="377"/>
        <v>28600</v>
      </c>
      <c r="AO167" s="18">
        <f t="shared" si="377"/>
        <v>45000</v>
      </c>
      <c r="AP167" s="18">
        <f t="shared" si="377"/>
        <v>48000</v>
      </c>
      <c r="AQ167" s="18">
        <f t="shared" si="377"/>
        <v>54000</v>
      </c>
      <c r="AR167" s="18">
        <f t="shared" si="377"/>
        <v>147200</v>
      </c>
      <c r="AS167" s="18">
        <f t="shared" si="275"/>
        <v>30326.08695652174</v>
      </c>
      <c r="AT167" s="184" t="str">
        <f t="shared" si="280"/>
        <v/>
      </c>
      <c r="AU167" s="184" t="str">
        <f t="shared" si="281"/>
        <v/>
      </c>
      <c r="AV167" s="184" t="str">
        <f t="shared" si="282"/>
        <v/>
      </c>
      <c r="AW167" s="184" t="str">
        <f t="shared" si="283"/>
        <v/>
      </c>
      <c r="AX167" s="184" t="str">
        <f t="shared" si="284"/>
        <v/>
      </c>
      <c r="AY167" s="184" t="str">
        <f t="shared" si="285"/>
        <v/>
      </c>
      <c r="AZ167" s="184" t="str">
        <f t="shared" si="286"/>
        <v/>
      </c>
      <c r="BA167" s="184" t="str">
        <f t="shared" si="287"/>
        <v/>
      </c>
      <c r="BB167" s="184" t="str">
        <f t="shared" si="288"/>
        <v/>
      </c>
      <c r="BC167" s="184" t="str">
        <f t="shared" si="289"/>
        <v/>
      </c>
      <c r="BD167" s="184" t="str">
        <f t="shared" si="290"/>
        <v/>
      </c>
      <c r="BE167" s="184" t="str">
        <f t="shared" si="291"/>
        <v/>
      </c>
      <c r="BF167" s="184" t="str">
        <f t="shared" si="292"/>
        <v/>
      </c>
      <c r="BG167" s="184" t="str">
        <f t="shared" si="293"/>
        <v/>
      </c>
      <c r="BH167" s="184" t="str">
        <f t="shared" si="294"/>
        <v/>
      </c>
      <c r="BI167" s="184" t="str">
        <f t="shared" si="295"/>
        <v/>
      </c>
      <c r="BJ167" s="184" t="str">
        <f t="shared" si="296"/>
        <v/>
      </c>
      <c r="BK167" s="184" t="str">
        <f t="shared" si="297"/>
        <v/>
      </c>
      <c r="BL167" s="184" t="str">
        <f t="shared" si="298"/>
        <v/>
      </c>
      <c r="BM167" s="184" t="str">
        <f t="shared" si="299"/>
        <v/>
      </c>
      <c r="BN167" s="184" t="str">
        <f t="shared" si="300"/>
        <v/>
      </c>
      <c r="BO167" s="184" t="str">
        <f t="shared" si="301"/>
        <v/>
      </c>
      <c r="BP167" s="184" t="str">
        <f t="shared" si="302"/>
        <v/>
      </c>
      <c r="BQ167" s="184" t="str">
        <f t="shared" si="303"/>
        <v/>
      </c>
      <c r="BR167" s="184" t="str">
        <f t="shared" si="375"/>
        <v/>
      </c>
      <c r="BS167" s="184" t="str">
        <f t="shared" si="375"/>
        <v/>
      </c>
      <c r="BT167" s="184" t="str">
        <f t="shared" si="375"/>
        <v/>
      </c>
      <c r="BU167" s="184" t="str">
        <f t="shared" si="305"/>
        <v/>
      </c>
      <c r="BV167" s="184" t="str">
        <f t="shared" si="306"/>
        <v/>
      </c>
      <c r="BW167" s="184" t="str">
        <f t="shared" si="307"/>
        <v/>
      </c>
      <c r="BX167" s="184" t="str">
        <f t="shared" si="308"/>
        <v/>
      </c>
      <c r="BY167" s="184" t="str">
        <f t="shared" si="309"/>
        <v/>
      </c>
      <c r="BZ167" s="184" t="str">
        <f t="shared" si="310"/>
        <v/>
      </c>
      <c r="CA167" s="184" t="str">
        <f t="shared" si="311"/>
        <v/>
      </c>
      <c r="CB167" s="184" t="str">
        <f t="shared" si="312"/>
        <v/>
      </c>
      <c r="CC167" s="184" t="str">
        <f t="shared" si="313"/>
        <v/>
      </c>
      <c r="CD167" s="184" t="str">
        <f t="shared" si="314"/>
        <v/>
      </c>
      <c r="CE167" s="184" t="str">
        <f t="shared" si="315"/>
        <v/>
      </c>
      <c r="CF167" s="184" t="str">
        <f t="shared" si="316"/>
        <v/>
      </c>
      <c r="CG167" s="184" t="str">
        <f t="shared" si="317"/>
        <v/>
      </c>
      <c r="CH167" s="184" t="str">
        <f t="shared" si="318"/>
        <v/>
      </c>
      <c r="CI167" s="184" t="str">
        <f t="shared" si="319"/>
        <v/>
      </c>
      <c r="CJ167" s="184" t="str">
        <f t="shared" si="320"/>
        <v/>
      </c>
      <c r="CK167" s="184"/>
      <c r="CM167" s="184"/>
      <c r="CN167"/>
      <c r="CP167"/>
      <c r="CR167"/>
      <c r="CT167"/>
      <c r="CV167"/>
      <c r="CX167"/>
      <c r="CZ167"/>
      <c r="DB167"/>
      <c r="DD167"/>
      <c r="DF167"/>
      <c r="ED167" s="184"/>
      <c r="EF167" s="184"/>
      <c r="EH167" s="184"/>
      <c r="EJ167" s="184"/>
      <c r="EL167" s="184"/>
      <c r="EN167" s="184"/>
      <c r="EP167" s="184"/>
      <c r="ER167" s="184"/>
      <c r="ET167" s="184"/>
      <c r="EV167" s="184"/>
      <c r="EX167" s="184"/>
      <c r="EZ167" s="184"/>
      <c r="FB167" s="184"/>
    </row>
    <row r="168" spans="1:158">
      <c r="A168" s="184">
        <f t="shared" si="368"/>
        <v>14</v>
      </c>
      <c r="B168" s="18">
        <f t="shared" si="325"/>
        <v>6225.0000000000055</v>
      </c>
      <c r="C168" s="18">
        <f t="shared" si="360"/>
        <v>8250</v>
      </c>
      <c r="D168" s="18">
        <f t="shared" si="361"/>
        <v>10899.999999999991</v>
      </c>
      <c r="E168" s="18">
        <f t="shared" si="336"/>
        <v>12200</v>
      </c>
      <c r="F168" s="18">
        <f t="shared" si="337"/>
        <v>5849.9999999999945</v>
      </c>
      <c r="G168" s="18">
        <f t="shared" si="338"/>
        <v>7724.9999999999945</v>
      </c>
      <c r="H168" s="18">
        <f t="shared" si="339"/>
        <v>10975.000000000009</v>
      </c>
      <c r="I168" s="18">
        <f t="shared" si="340"/>
        <v>6150</v>
      </c>
      <c r="J168" s="18">
        <f t="shared" si="341"/>
        <v>8175.0000000000055</v>
      </c>
      <c r="K168" s="18">
        <f t="shared" si="342"/>
        <v>10449.999999999991</v>
      </c>
      <c r="L168" s="18">
        <f t="shared" si="343"/>
        <v>12324.999999999989</v>
      </c>
      <c r="M168" s="18">
        <f t="shared" si="344"/>
        <v>15025</v>
      </c>
      <c r="N168" s="18">
        <f t="shared" si="345"/>
        <v>10007.500000000005</v>
      </c>
      <c r="O168" s="18">
        <f t="shared" si="346"/>
        <v>11448</v>
      </c>
      <c r="P168" s="18">
        <f t="shared" si="347"/>
        <v>15720.000000000011</v>
      </c>
      <c r="Q168" s="18">
        <f t="shared" si="348"/>
        <v>16890.000000000007</v>
      </c>
      <c r="R168" s="18">
        <f t="shared" si="349"/>
        <v>23280</v>
      </c>
      <c r="S168" s="18">
        <f t="shared" si="350"/>
        <v>14375</v>
      </c>
      <c r="T168" s="18">
        <f t="shared" si="351"/>
        <v>16987.5</v>
      </c>
      <c r="U168" s="18">
        <f t="shared" si="352"/>
        <v>19934.199999999986</v>
      </c>
      <c r="V168" s="18">
        <f t="shared" si="353"/>
        <v>23742</v>
      </c>
      <c r="W168" s="18">
        <f t="shared" si="354"/>
        <v>29809.399999999987</v>
      </c>
      <c r="X168" s="18">
        <f t="shared" si="355"/>
        <v>31900.500000000004</v>
      </c>
      <c r="Y168" s="18">
        <f t="shared" si="356"/>
        <v>40355.000000000044</v>
      </c>
      <c r="Z168" s="18">
        <f t="shared" si="356"/>
        <v>28980</v>
      </c>
      <c r="AA168" s="18">
        <f t="shared" ref="AA168:AB168" si="379">AA167+(AA$174-AA$150)/24</f>
        <v>37260</v>
      </c>
      <c r="AB168" s="18">
        <f t="shared" si="379"/>
        <v>46530</v>
      </c>
      <c r="AC168" s="18">
        <f t="shared" si="355"/>
        <v>10200.000000000011</v>
      </c>
      <c r="AD168" s="18">
        <f t="shared" ref="AD168:AR168" si="380">AD167+(AD$174-AD$150)/24</f>
        <v>11874.999999999989</v>
      </c>
      <c r="AE168" s="18">
        <f t="shared" si="380"/>
        <v>13600</v>
      </c>
      <c r="AF168" s="18">
        <f t="shared" si="380"/>
        <v>18000</v>
      </c>
      <c r="AG168" s="18">
        <f t="shared" si="380"/>
        <v>20300</v>
      </c>
      <c r="AH168" s="18">
        <f t="shared" ref="AH168:AK168" si="381">AH167+(AH$174-AH$150)/24</f>
        <v>12800</v>
      </c>
      <c r="AI168" s="18">
        <f t="shared" si="381"/>
        <v>14350</v>
      </c>
      <c r="AJ168" s="18">
        <f t="shared" si="381"/>
        <v>19875.000000000022</v>
      </c>
      <c r="AK168" s="18">
        <f t="shared" si="381"/>
        <v>22499.999999999978</v>
      </c>
      <c r="AL168" s="18">
        <f t="shared" si="380"/>
        <v>22000</v>
      </c>
      <c r="AM168" s="18">
        <f t="shared" si="380"/>
        <v>25000</v>
      </c>
      <c r="AN168" s="18">
        <f t="shared" si="380"/>
        <v>28600</v>
      </c>
      <c r="AO168" s="18">
        <f t="shared" si="380"/>
        <v>45000</v>
      </c>
      <c r="AP168" s="18">
        <f t="shared" si="380"/>
        <v>48000</v>
      </c>
      <c r="AQ168" s="18">
        <f t="shared" si="380"/>
        <v>54000</v>
      </c>
      <c r="AR168" s="18">
        <f t="shared" si="380"/>
        <v>147200</v>
      </c>
      <c r="AS168" s="18">
        <f t="shared" si="275"/>
        <v>30000</v>
      </c>
      <c r="AT168" s="184" t="str">
        <f t="shared" si="280"/>
        <v/>
      </c>
      <c r="AU168" s="184" t="str">
        <f t="shared" si="281"/>
        <v/>
      </c>
      <c r="AV168" s="184" t="str">
        <f t="shared" si="282"/>
        <v/>
      </c>
      <c r="AW168" s="184" t="str">
        <f t="shared" si="283"/>
        <v/>
      </c>
      <c r="AX168" s="184" t="str">
        <f t="shared" si="284"/>
        <v/>
      </c>
      <c r="AY168" s="184" t="str">
        <f t="shared" si="285"/>
        <v/>
      </c>
      <c r="AZ168" s="184" t="str">
        <f t="shared" si="286"/>
        <v/>
      </c>
      <c r="BA168" s="184" t="str">
        <f t="shared" si="287"/>
        <v/>
      </c>
      <c r="BB168" s="184" t="str">
        <f t="shared" si="288"/>
        <v/>
      </c>
      <c r="BC168" s="184" t="str">
        <f t="shared" si="289"/>
        <v/>
      </c>
      <c r="BD168" s="184" t="str">
        <f t="shared" si="290"/>
        <v/>
      </c>
      <c r="BE168" s="184" t="str">
        <f t="shared" si="291"/>
        <v/>
      </c>
      <c r="BF168" s="184" t="str">
        <f t="shared" si="292"/>
        <v/>
      </c>
      <c r="BG168" s="184" t="str">
        <f t="shared" si="293"/>
        <v/>
      </c>
      <c r="BH168" s="184" t="str">
        <f t="shared" si="294"/>
        <v/>
      </c>
      <c r="BI168" s="184" t="str">
        <f t="shared" si="295"/>
        <v/>
      </c>
      <c r="BJ168" s="184" t="str">
        <f t="shared" si="296"/>
        <v/>
      </c>
      <c r="BK168" s="184" t="str">
        <f t="shared" si="297"/>
        <v/>
      </c>
      <c r="BL168" s="184" t="str">
        <f t="shared" si="298"/>
        <v/>
      </c>
      <c r="BM168" s="184" t="str">
        <f t="shared" si="299"/>
        <v/>
      </c>
      <c r="BN168" s="184" t="str">
        <f t="shared" si="300"/>
        <v/>
      </c>
      <c r="BO168" s="184" t="str">
        <f t="shared" si="301"/>
        <v/>
      </c>
      <c r="BP168" s="184" t="str">
        <f t="shared" si="302"/>
        <v/>
      </c>
      <c r="BQ168" s="184" t="str">
        <f t="shared" si="303"/>
        <v/>
      </c>
      <c r="BR168" s="184" t="str">
        <f t="shared" si="375"/>
        <v/>
      </c>
      <c r="BS168" s="184" t="str">
        <f t="shared" si="375"/>
        <v/>
      </c>
      <c r="BT168" s="184" t="str">
        <f t="shared" si="375"/>
        <v/>
      </c>
      <c r="BU168" s="184" t="str">
        <f t="shared" si="305"/>
        <v/>
      </c>
      <c r="BV168" s="184" t="str">
        <f t="shared" si="306"/>
        <v/>
      </c>
      <c r="BW168" s="184" t="str">
        <f t="shared" si="307"/>
        <v/>
      </c>
      <c r="BX168" s="184" t="str">
        <f t="shared" si="308"/>
        <v/>
      </c>
      <c r="BY168" s="184" t="str">
        <f t="shared" si="309"/>
        <v/>
      </c>
      <c r="BZ168" s="184" t="str">
        <f t="shared" si="310"/>
        <v/>
      </c>
      <c r="CA168" s="184" t="str">
        <f t="shared" si="311"/>
        <v/>
      </c>
      <c r="CB168" s="184" t="str">
        <f t="shared" si="312"/>
        <v/>
      </c>
      <c r="CC168" s="184" t="str">
        <f t="shared" si="313"/>
        <v/>
      </c>
      <c r="CD168" s="184" t="str">
        <f t="shared" si="314"/>
        <v/>
      </c>
      <c r="CE168" s="184" t="str">
        <f t="shared" si="315"/>
        <v/>
      </c>
      <c r="CF168" s="184" t="str">
        <f t="shared" si="316"/>
        <v/>
      </c>
      <c r="CG168" s="184" t="str">
        <f t="shared" si="317"/>
        <v/>
      </c>
      <c r="CH168" s="184" t="str">
        <f t="shared" si="318"/>
        <v/>
      </c>
      <c r="CI168" s="184" t="str">
        <f t="shared" si="319"/>
        <v/>
      </c>
      <c r="CJ168" s="184" t="str">
        <f t="shared" si="320"/>
        <v/>
      </c>
      <c r="CK168" s="184"/>
      <c r="CM168" s="184"/>
      <c r="CN168"/>
      <c r="CP168"/>
      <c r="CR168"/>
      <c r="CT168"/>
      <c r="CV168"/>
      <c r="CX168"/>
      <c r="CZ168"/>
      <c r="DB168"/>
      <c r="DD168"/>
      <c r="DF168"/>
      <c r="ED168" s="184"/>
      <c r="EF168" s="184"/>
      <c r="EH168" s="184"/>
      <c r="EJ168" s="184"/>
      <c r="EL168" s="184"/>
      <c r="EN168" s="184"/>
      <c r="EP168" s="184"/>
      <c r="ER168" s="184"/>
      <c r="ET168" s="184"/>
      <c r="EV168" s="184"/>
      <c r="EX168" s="184"/>
      <c r="EZ168" s="184"/>
      <c r="FB168" s="184"/>
    </row>
    <row r="169" spans="1:158">
      <c r="A169" s="184">
        <f t="shared" si="368"/>
        <v>14.5</v>
      </c>
      <c r="B169" s="18">
        <f t="shared" si="325"/>
        <v>6304.1666666666724</v>
      </c>
      <c r="C169" s="18">
        <f t="shared" si="360"/>
        <v>8375</v>
      </c>
      <c r="D169" s="18">
        <f t="shared" si="361"/>
        <v>11066.666666666657</v>
      </c>
      <c r="E169" s="18">
        <f t="shared" si="336"/>
        <v>12350</v>
      </c>
      <c r="F169" s="18">
        <f t="shared" si="337"/>
        <v>5908.3333333333276</v>
      </c>
      <c r="G169" s="18">
        <f t="shared" si="338"/>
        <v>7820.8333333333276</v>
      </c>
      <c r="H169" s="18">
        <f t="shared" si="339"/>
        <v>11145.833333333343</v>
      </c>
      <c r="I169" s="18">
        <f t="shared" si="340"/>
        <v>6225</v>
      </c>
      <c r="J169" s="18">
        <f t="shared" si="341"/>
        <v>8279.1666666666715</v>
      </c>
      <c r="K169" s="18">
        <f t="shared" si="342"/>
        <v>10591.666666666657</v>
      </c>
      <c r="L169" s="18">
        <f t="shared" si="343"/>
        <v>12504.166666666655</v>
      </c>
      <c r="M169" s="18">
        <f t="shared" si="344"/>
        <v>15187.5</v>
      </c>
      <c r="N169" s="18">
        <f t="shared" si="345"/>
        <v>10139.583333333339</v>
      </c>
      <c r="O169" s="18">
        <f t="shared" si="346"/>
        <v>11540</v>
      </c>
      <c r="P169" s="18">
        <f t="shared" si="347"/>
        <v>15833.333333333345</v>
      </c>
      <c r="Q169" s="18">
        <f t="shared" si="348"/>
        <v>17108.333333333339</v>
      </c>
      <c r="R169" s="18">
        <f t="shared" si="349"/>
        <v>23500</v>
      </c>
      <c r="S169" s="18">
        <f t="shared" si="350"/>
        <v>14562.5</v>
      </c>
      <c r="T169" s="18">
        <f t="shared" si="351"/>
        <v>17181.25</v>
      </c>
      <c r="U169" s="18">
        <f t="shared" si="352"/>
        <v>20167.766666666652</v>
      </c>
      <c r="V169" s="18">
        <f t="shared" si="353"/>
        <v>24021</v>
      </c>
      <c r="W169" s="18">
        <f t="shared" si="354"/>
        <v>30159.699999999986</v>
      </c>
      <c r="X169" s="18">
        <f t="shared" si="355"/>
        <v>31992.750000000004</v>
      </c>
      <c r="Y169" s="18">
        <f t="shared" si="356"/>
        <v>40795.833333333379</v>
      </c>
      <c r="Z169" s="18">
        <f t="shared" si="356"/>
        <v>29190</v>
      </c>
      <c r="AA169" s="18">
        <f t="shared" ref="AA169:AB169" si="382">AA168+(AA$174-AA$150)/24</f>
        <v>37530</v>
      </c>
      <c r="AB169" s="18">
        <f t="shared" si="382"/>
        <v>46915</v>
      </c>
      <c r="AC169" s="18">
        <f t="shared" si="355"/>
        <v>10283.333333333345</v>
      </c>
      <c r="AD169" s="18">
        <f t="shared" ref="AD169:AR169" si="383">AD168+(AD$174-AD$150)/24</f>
        <v>11929.166666666655</v>
      </c>
      <c r="AE169" s="18">
        <f t="shared" si="383"/>
        <v>13600</v>
      </c>
      <c r="AF169" s="18">
        <f t="shared" si="383"/>
        <v>18000</v>
      </c>
      <c r="AG169" s="18">
        <f t="shared" si="383"/>
        <v>20300</v>
      </c>
      <c r="AH169" s="18">
        <f t="shared" ref="AH169:AK169" si="384">AH168+(AH$174-AH$150)/24</f>
        <v>12900</v>
      </c>
      <c r="AI169" s="18">
        <f t="shared" si="384"/>
        <v>14425</v>
      </c>
      <c r="AJ169" s="18">
        <f t="shared" si="384"/>
        <v>19979.16666666669</v>
      </c>
      <c r="AK169" s="18">
        <f t="shared" si="384"/>
        <v>22583.33333333331</v>
      </c>
      <c r="AL169" s="18">
        <f t="shared" si="383"/>
        <v>22000</v>
      </c>
      <c r="AM169" s="18">
        <f t="shared" si="383"/>
        <v>25000</v>
      </c>
      <c r="AN169" s="18">
        <f t="shared" si="383"/>
        <v>28600</v>
      </c>
      <c r="AO169" s="18">
        <f t="shared" si="383"/>
        <v>45000</v>
      </c>
      <c r="AP169" s="18">
        <f t="shared" si="383"/>
        <v>48000</v>
      </c>
      <c r="AQ169" s="18">
        <f t="shared" si="383"/>
        <v>54000</v>
      </c>
      <c r="AR169" s="18">
        <f t="shared" si="383"/>
        <v>147200</v>
      </c>
      <c r="AS169" s="18">
        <f t="shared" si="275"/>
        <v>29673.913043478264</v>
      </c>
      <c r="AT169" s="184" t="str">
        <f t="shared" si="280"/>
        <v/>
      </c>
      <c r="AU169" s="184" t="str">
        <f t="shared" si="281"/>
        <v/>
      </c>
      <c r="AV169" s="184" t="str">
        <f t="shared" si="282"/>
        <v/>
      </c>
      <c r="AW169" s="184" t="str">
        <f t="shared" si="283"/>
        <v/>
      </c>
      <c r="AX169" s="184" t="str">
        <f t="shared" si="284"/>
        <v/>
      </c>
      <c r="AY169" s="184" t="str">
        <f t="shared" si="285"/>
        <v/>
      </c>
      <c r="AZ169" s="184" t="str">
        <f t="shared" si="286"/>
        <v/>
      </c>
      <c r="BA169" s="184" t="str">
        <f t="shared" si="287"/>
        <v/>
      </c>
      <c r="BB169" s="184" t="str">
        <f t="shared" si="288"/>
        <v/>
      </c>
      <c r="BC169" s="184" t="str">
        <f t="shared" si="289"/>
        <v/>
      </c>
      <c r="BD169" s="184" t="str">
        <f t="shared" si="290"/>
        <v/>
      </c>
      <c r="BE169" s="184" t="str">
        <f t="shared" si="291"/>
        <v/>
      </c>
      <c r="BF169" s="184" t="str">
        <f t="shared" si="292"/>
        <v/>
      </c>
      <c r="BG169" s="184" t="str">
        <f t="shared" si="293"/>
        <v/>
      </c>
      <c r="BH169" s="184" t="str">
        <f t="shared" si="294"/>
        <v/>
      </c>
      <c r="BI169" s="184" t="str">
        <f t="shared" si="295"/>
        <v/>
      </c>
      <c r="BJ169" s="184" t="str">
        <f t="shared" si="296"/>
        <v/>
      </c>
      <c r="BK169" s="184" t="str">
        <f t="shared" si="297"/>
        <v/>
      </c>
      <c r="BL169" s="184" t="str">
        <f t="shared" si="298"/>
        <v/>
      </c>
      <c r="BM169" s="184" t="str">
        <f t="shared" si="299"/>
        <v/>
      </c>
      <c r="BN169" s="184" t="str">
        <f t="shared" si="300"/>
        <v/>
      </c>
      <c r="BO169" s="184">
        <f t="shared" si="301"/>
        <v>1</v>
      </c>
      <c r="BP169" s="184" t="str">
        <f t="shared" si="302"/>
        <v/>
      </c>
      <c r="BQ169" s="184" t="str">
        <f t="shared" si="303"/>
        <v/>
      </c>
      <c r="BR169" s="184" t="str">
        <f t="shared" si="375"/>
        <v/>
      </c>
      <c r="BS169" s="184" t="str">
        <f t="shared" si="375"/>
        <v/>
      </c>
      <c r="BT169" s="184" t="str">
        <f t="shared" si="375"/>
        <v/>
      </c>
      <c r="BU169" s="184" t="str">
        <f t="shared" si="305"/>
        <v/>
      </c>
      <c r="BV169" s="184" t="str">
        <f t="shared" si="306"/>
        <v/>
      </c>
      <c r="BW169" s="184" t="str">
        <f t="shared" si="307"/>
        <v/>
      </c>
      <c r="BX169" s="184" t="str">
        <f t="shared" si="308"/>
        <v/>
      </c>
      <c r="BY169" s="184" t="str">
        <f t="shared" si="309"/>
        <v/>
      </c>
      <c r="BZ169" s="184" t="str">
        <f t="shared" si="310"/>
        <v/>
      </c>
      <c r="CA169" s="184" t="str">
        <f t="shared" si="311"/>
        <v/>
      </c>
      <c r="CB169" s="184" t="str">
        <f t="shared" si="312"/>
        <v/>
      </c>
      <c r="CC169" s="184" t="str">
        <f t="shared" si="313"/>
        <v/>
      </c>
      <c r="CD169" s="184" t="str">
        <f t="shared" si="314"/>
        <v/>
      </c>
      <c r="CE169" s="184" t="str">
        <f t="shared" si="315"/>
        <v/>
      </c>
      <c r="CF169" s="184" t="str">
        <f t="shared" si="316"/>
        <v/>
      </c>
      <c r="CG169" s="184" t="str">
        <f t="shared" si="317"/>
        <v/>
      </c>
      <c r="CH169" s="184" t="str">
        <f t="shared" si="318"/>
        <v/>
      </c>
      <c r="CI169" s="184" t="str">
        <f t="shared" si="319"/>
        <v/>
      </c>
      <c r="CJ169" s="184" t="str">
        <f t="shared" si="320"/>
        <v/>
      </c>
      <c r="CK169" s="184"/>
      <c r="CM169" s="184"/>
      <c r="CN169"/>
      <c r="CP169"/>
      <c r="CR169"/>
      <c r="CT169"/>
      <c r="CV169"/>
      <c r="CX169"/>
      <c r="CZ169"/>
      <c r="DB169"/>
      <c r="DD169"/>
      <c r="DF169"/>
      <c r="ED169" s="184"/>
      <c r="EF169" s="184"/>
      <c r="EH169" s="184"/>
      <c r="EJ169" s="184"/>
      <c r="EL169" s="184"/>
      <c r="EN169" s="184"/>
      <c r="EP169" s="184"/>
      <c r="ER169" s="184"/>
      <c r="ET169" s="184"/>
      <c r="EV169" s="184"/>
      <c r="EX169" s="184"/>
      <c r="EZ169" s="184"/>
      <c r="FB169" s="184"/>
    </row>
    <row r="170" spans="1:158">
      <c r="A170" s="184">
        <f t="shared" si="368"/>
        <v>15</v>
      </c>
      <c r="B170" s="18">
        <f t="shared" si="325"/>
        <v>6383.3333333333394</v>
      </c>
      <c r="C170" s="18">
        <f t="shared" si="360"/>
        <v>8500</v>
      </c>
      <c r="D170" s="18">
        <f t="shared" si="361"/>
        <v>11233.333333333323</v>
      </c>
      <c r="E170" s="18">
        <f t="shared" si="336"/>
        <v>12500</v>
      </c>
      <c r="F170" s="18">
        <f t="shared" si="337"/>
        <v>5966.6666666666606</v>
      </c>
      <c r="G170" s="18">
        <f t="shared" si="338"/>
        <v>7916.6666666666606</v>
      </c>
      <c r="H170" s="18">
        <f t="shared" si="339"/>
        <v>11316.666666666677</v>
      </c>
      <c r="I170" s="18">
        <f t="shared" si="340"/>
        <v>6300</v>
      </c>
      <c r="J170" s="18">
        <f t="shared" si="341"/>
        <v>8383.3333333333376</v>
      </c>
      <c r="K170" s="18">
        <f t="shared" si="342"/>
        <v>10733.333333333323</v>
      </c>
      <c r="L170" s="18">
        <f t="shared" si="343"/>
        <v>12683.333333333321</v>
      </c>
      <c r="M170" s="18">
        <f t="shared" si="344"/>
        <v>15350</v>
      </c>
      <c r="N170" s="18">
        <f t="shared" si="345"/>
        <v>10271.666666666673</v>
      </c>
      <c r="O170" s="18">
        <f t="shared" si="346"/>
        <v>11632</v>
      </c>
      <c r="P170" s="18">
        <f t="shared" si="347"/>
        <v>15946.666666666679</v>
      </c>
      <c r="Q170" s="18">
        <f t="shared" si="348"/>
        <v>17326.666666666672</v>
      </c>
      <c r="R170" s="18">
        <f t="shared" si="349"/>
        <v>23720</v>
      </c>
      <c r="S170" s="18">
        <f t="shared" si="350"/>
        <v>14750</v>
      </c>
      <c r="T170" s="18">
        <f t="shared" si="351"/>
        <v>17375</v>
      </c>
      <c r="U170" s="18">
        <f t="shared" si="352"/>
        <v>20401.333333333318</v>
      </c>
      <c r="V170" s="18">
        <f t="shared" si="353"/>
        <v>24300</v>
      </c>
      <c r="W170" s="18">
        <f t="shared" si="354"/>
        <v>30509.999999999985</v>
      </c>
      <c r="X170" s="18">
        <f t="shared" si="355"/>
        <v>32085.000000000004</v>
      </c>
      <c r="Y170" s="18">
        <f t="shared" si="356"/>
        <v>41236.666666666715</v>
      </c>
      <c r="Z170" s="18">
        <f t="shared" si="356"/>
        <v>29400</v>
      </c>
      <c r="AA170" s="18">
        <f t="shared" ref="AA170:AB170" si="385">AA169+(AA$174-AA$150)/24</f>
        <v>37800</v>
      </c>
      <c r="AB170" s="18">
        <f t="shared" si="385"/>
        <v>47300</v>
      </c>
      <c r="AC170" s="18">
        <f t="shared" si="355"/>
        <v>10366.666666666679</v>
      </c>
      <c r="AD170" s="18">
        <f t="shared" ref="AD170:AR170" si="386">AD169+(AD$174-AD$150)/24</f>
        <v>11983.333333333321</v>
      </c>
      <c r="AE170" s="18">
        <f t="shared" si="386"/>
        <v>13600</v>
      </c>
      <c r="AF170" s="18">
        <f t="shared" si="386"/>
        <v>18000</v>
      </c>
      <c r="AG170" s="18">
        <f t="shared" si="386"/>
        <v>20300</v>
      </c>
      <c r="AH170" s="18">
        <f t="shared" ref="AH170:AK170" si="387">AH169+(AH$174-AH$150)/24</f>
        <v>13000</v>
      </c>
      <c r="AI170" s="18">
        <f t="shared" si="387"/>
        <v>14500</v>
      </c>
      <c r="AJ170" s="18">
        <f t="shared" si="387"/>
        <v>20083.333333333358</v>
      </c>
      <c r="AK170" s="18">
        <f t="shared" si="387"/>
        <v>22666.666666666642</v>
      </c>
      <c r="AL170" s="18">
        <f t="shared" si="386"/>
        <v>22000</v>
      </c>
      <c r="AM170" s="18">
        <f t="shared" si="386"/>
        <v>25000</v>
      </c>
      <c r="AN170" s="18">
        <f t="shared" si="386"/>
        <v>28600</v>
      </c>
      <c r="AO170" s="18">
        <f t="shared" si="386"/>
        <v>45000</v>
      </c>
      <c r="AP170" s="18">
        <f t="shared" si="386"/>
        <v>48000</v>
      </c>
      <c r="AQ170" s="18">
        <f t="shared" si="386"/>
        <v>54000</v>
      </c>
      <c r="AR170" s="18">
        <f t="shared" si="386"/>
        <v>147200</v>
      </c>
      <c r="AS170" s="18">
        <f t="shared" si="275"/>
        <v>29347.826086956524</v>
      </c>
      <c r="AT170" s="184" t="str">
        <f t="shared" si="280"/>
        <v/>
      </c>
      <c r="AU170" s="184" t="str">
        <f t="shared" si="281"/>
        <v/>
      </c>
      <c r="AV170" s="184" t="str">
        <f t="shared" si="282"/>
        <v/>
      </c>
      <c r="AW170" s="184" t="str">
        <f t="shared" si="283"/>
        <v/>
      </c>
      <c r="AX170" s="184" t="str">
        <f t="shared" si="284"/>
        <v/>
      </c>
      <c r="AY170" s="184" t="str">
        <f t="shared" si="285"/>
        <v/>
      </c>
      <c r="AZ170" s="184" t="str">
        <f t="shared" si="286"/>
        <v/>
      </c>
      <c r="BA170" s="184" t="str">
        <f t="shared" si="287"/>
        <v/>
      </c>
      <c r="BB170" s="184" t="str">
        <f t="shared" si="288"/>
        <v/>
      </c>
      <c r="BC170" s="184" t="str">
        <f t="shared" si="289"/>
        <v/>
      </c>
      <c r="BD170" s="184" t="str">
        <f t="shared" si="290"/>
        <v/>
      </c>
      <c r="BE170" s="184" t="str">
        <f t="shared" si="291"/>
        <v/>
      </c>
      <c r="BF170" s="184" t="str">
        <f t="shared" si="292"/>
        <v/>
      </c>
      <c r="BG170" s="184" t="str">
        <f t="shared" si="293"/>
        <v/>
      </c>
      <c r="BH170" s="184" t="str">
        <f t="shared" si="294"/>
        <v/>
      </c>
      <c r="BI170" s="184" t="str">
        <f t="shared" si="295"/>
        <v/>
      </c>
      <c r="BJ170" s="184" t="str">
        <f t="shared" si="296"/>
        <v/>
      </c>
      <c r="BK170" s="184" t="str">
        <f t="shared" si="297"/>
        <v/>
      </c>
      <c r="BL170" s="184" t="str">
        <f t="shared" si="298"/>
        <v/>
      </c>
      <c r="BM170" s="184" t="str">
        <f t="shared" si="299"/>
        <v/>
      </c>
      <c r="BN170" s="184" t="str">
        <f t="shared" si="300"/>
        <v/>
      </c>
      <c r="BO170" s="184" t="str">
        <f t="shared" si="301"/>
        <v/>
      </c>
      <c r="BP170" s="184" t="str">
        <f t="shared" si="302"/>
        <v/>
      </c>
      <c r="BQ170" s="184" t="str">
        <f t="shared" si="303"/>
        <v/>
      </c>
      <c r="BR170" s="184">
        <f t="shared" si="375"/>
        <v>1</v>
      </c>
      <c r="BS170" s="184" t="str">
        <f t="shared" si="375"/>
        <v/>
      </c>
      <c r="BT170" s="184" t="str">
        <f t="shared" si="375"/>
        <v/>
      </c>
      <c r="BU170" s="184" t="str">
        <f t="shared" si="305"/>
        <v/>
      </c>
      <c r="BV170" s="184" t="str">
        <f t="shared" si="306"/>
        <v/>
      </c>
      <c r="BW170" s="184" t="str">
        <f t="shared" si="307"/>
        <v/>
      </c>
      <c r="BX170" s="184" t="str">
        <f t="shared" si="308"/>
        <v/>
      </c>
      <c r="BY170" s="184" t="str">
        <f t="shared" si="309"/>
        <v/>
      </c>
      <c r="BZ170" s="184" t="str">
        <f t="shared" si="310"/>
        <v/>
      </c>
      <c r="CA170" s="184" t="str">
        <f t="shared" si="311"/>
        <v/>
      </c>
      <c r="CB170" s="184" t="str">
        <f t="shared" si="312"/>
        <v/>
      </c>
      <c r="CC170" s="184" t="str">
        <f t="shared" si="313"/>
        <v/>
      </c>
      <c r="CD170" s="184" t="str">
        <f t="shared" si="314"/>
        <v/>
      </c>
      <c r="CE170" s="184" t="str">
        <f t="shared" si="315"/>
        <v/>
      </c>
      <c r="CF170" s="184" t="str">
        <f t="shared" si="316"/>
        <v/>
      </c>
      <c r="CG170" s="184" t="str">
        <f t="shared" si="317"/>
        <v/>
      </c>
      <c r="CH170" s="184" t="str">
        <f t="shared" si="318"/>
        <v/>
      </c>
      <c r="CI170" s="184" t="str">
        <f t="shared" si="319"/>
        <v/>
      </c>
      <c r="CJ170" s="184" t="str">
        <f t="shared" si="320"/>
        <v/>
      </c>
      <c r="CK170" s="184"/>
      <c r="CM170" s="184"/>
      <c r="CN170"/>
      <c r="CP170"/>
      <c r="CR170"/>
      <c r="CT170"/>
      <c r="CV170"/>
      <c r="CX170"/>
      <c r="CZ170"/>
      <c r="DB170"/>
      <c r="DD170"/>
      <c r="DF170"/>
      <c r="ED170" s="184"/>
      <c r="EF170" s="184"/>
      <c r="EH170" s="184"/>
      <c r="EJ170" s="184"/>
      <c r="EL170" s="184"/>
      <c r="EN170" s="184"/>
      <c r="EP170" s="184"/>
      <c r="ER170" s="184"/>
      <c r="ET170" s="184"/>
      <c r="EV170" s="184"/>
      <c r="EX170" s="184"/>
      <c r="EZ170" s="184"/>
      <c r="FB170" s="184"/>
    </row>
    <row r="171" spans="1:158">
      <c r="A171" s="184">
        <f t="shared" si="368"/>
        <v>15.5</v>
      </c>
      <c r="B171" s="18">
        <f t="shared" si="325"/>
        <v>6462.5000000000064</v>
      </c>
      <c r="C171" s="18">
        <f t="shared" si="360"/>
        <v>8625</v>
      </c>
      <c r="D171" s="18">
        <f t="shared" si="361"/>
        <v>11399.999999999989</v>
      </c>
      <c r="E171" s="18">
        <f t="shared" si="336"/>
        <v>12650</v>
      </c>
      <c r="F171" s="18">
        <f t="shared" si="337"/>
        <v>6024.9999999999936</v>
      </c>
      <c r="G171" s="18">
        <f t="shared" si="338"/>
        <v>8012.4999999999936</v>
      </c>
      <c r="H171" s="18">
        <f t="shared" si="339"/>
        <v>11487.500000000011</v>
      </c>
      <c r="I171" s="18">
        <f t="shared" si="340"/>
        <v>6375</v>
      </c>
      <c r="J171" s="18">
        <f t="shared" si="341"/>
        <v>8487.5000000000036</v>
      </c>
      <c r="K171" s="18">
        <f t="shared" si="342"/>
        <v>10874.999999999989</v>
      </c>
      <c r="L171" s="18">
        <f t="shared" si="343"/>
        <v>12862.499999999987</v>
      </c>
      <c r="M171" s="18">
        <f t="shared" si="344"/>
        <v>15512.5</v>
      </c>
      <c r="N171" s="18">
        <f t="shared" si="345"/>
        <v>10403.750000000007</v>
      </c>
      <c r="O171" s="18">
        <f t="shared" si="346"/>
        <v>11724</v>
      </c>
      <c r="P171" s="18">
        <f t="shared" si="347"/>
        <v>16060.000000000013</v>
      </c>
      <c r="Q171" s="18">
        <f t="shared" si="348"/>
        <v>17545.000000000004</v>
      </c>
      <c r="R171" s="18">
        <f t="shared" si="349"/>
        <v>23940</v>
      </c>
      <c r="S171" s="18">
        <f t="shared" si="350"/>
        <v>14937.5</v>
      </c>
      <c r="T171" s="18">
        <f t="shared" si="351"/>
        <v>17568.75</v>
      </c>
      <c r="U171" s="18">
        <f t="shared" si="352"/>
        <v>20634.899999999983</v>
      </c>
      <c r="V171" s="18">
        <f t="shared" si="353"/>
        <v>24579</v>
      </c>
      <c r="W171" s="18">
        <f t="shared" si="354"/>
        <v>30860.299999999985</v>
      </c>
      <c r="X171" s="18">
        <f t="shared" si="355"/>
        <v>32177.250000000004</v>
      </c>
      <c r="Y171" s="18">
        <f t="shared" si="356"/>
        <v>41677.500000000051</v>
      </c>
      <c r="Z171" s="18">
        <f t="shared" si="356"/>
        <v>29610</v>
      </c>
      <c r="AA171" s="18">
        <f t="shared" ref="AA171:AB171" si="388">AA170+(AA$174-AA$150)/24</f>
        <v>38070</v>
      </c>
      <c r="AB171" s="18">
        <f t="shared" si="388"/>
        <v>47685</v>
      </c>
      <c r="AC171" s="18">
        <f t="shared" si="355"/>
        <v>10450.000000000013</v>
      </c>
      <c r="AD171" s="18">
        <f t="shared" ref="AD171:AR171" si="389">AD170+(AD$174-AD$150)/24</f>
        <v>12037.499999999987</v>
      </c>
      <c r="AE171" s="18">
        <f t="shared" si="389"/>
        <v>13600</v>
      </c>
      <c r="AF171" s="18">
        <f t="shared" si="389"/>
        <v>18000</v>
      </c>
      <c r="AG171" s="18">
        <f t="shared" si="389"/>
        <v>20300</v>
      </c>
      <c r="AH171" s="18">
        <f t="shared" ref="AH171:AK171" si="390">AH170+(AH$174-AH$150)/24</f>
        <v>13100</v>
      </c>
      <c r="AI171" s="18">
        <f t="shared" si="390"/>
        <v>14575</v>
      </c>
      <c r="AJ171" s="18">
        <f t="shared" si="390"/>
        <v>20187.500000000025</v>
      </c>
      <c r="AK171" s="18">
        <f t="shared" si="390"/>
        <v>22749.999999999975</v>
      </c>
      <c r="AL171" s="18">
        <f t="shared" si="389"/>
        <v>22000</v>
      </c>
      <c r="AM171" s="18">
        <f t="shared" si="389"/>
        <v>25000</v>
      </c>
      <c r="AN171" s="18">
        <f t="shared" si="389"/>
        <v>28600</v>
      </c>
      <c r="AO171" s="18">
        <f t="shared" si="389"/>
        <v>45000</v>
      </c>
      <c r="AP171" s="18">
        <f t="shared" si="389"/>
        <v>48000</v>
      </c>
      <c r="AQ171" s="18">
        <f t="shared" si="389"/>
        <v>54000</v>
      </c>
      <c r="AR171" s="18">
        <f t="shared" si="389"/>
        <v>147200</v>
      </c>
      <c r="AS171" s="18">
        <f t="shared" si="275"/>
        <v>29021.73913043478</v>
      </c>
      <c r="AT171" s="184" t="str">
        <f t="shared" si="280"/>
        <v/>
      </c>
      <c r="AU171" s="184" t="str">
        <f t="shared" si="281"/>
        <v/>
      </c>
      <c r="AV171" s="184" t="str">
        <f t="shared" si="282"/>
        <v/>
      </c>
      <c r="AW171" s="184" t="str">
        <f t="shared" si="283"/>
        <v/>
      </c>
      <c r="AX171" s="184" t="str">
        <f t="shared" si="284"/>
        <v/>
      </c>
      <c r="AY171" s="184" t="str">
        <f t="shared" si="285"/>
        <v/>
      </c>
      <c r="AZ171" s="184" t="str">
        <f t="shared" si="286"/>
        <v/>
      </c>
      <c r="BA171" s="184" t="str">
        <f t="shared" si="287"/>
        <v/>
      </c>
      <c r="BB171" s="184" t="str">
        <f t="shared" si="288"/>
        <v/>
      </c>
      <c r="BC171" s="184" t="str">
        <f t="shared" si="289"/>
        <v/>
      </c>
      <c r="BD171" s="184" t="str">
        <f t="shared" si="290"/>
        <v/>
      </c>
      <c r="BE171" s="184" t="str">
        <f t="shared" si="291"/>
        <v/>
      </c>
      <c r="BF171" s="184" t="str">
        <f t="shared" si="292"/>
        <v/>
      </c>
      <c r="BG171" s="184" t="str">
        <f t="shared" si="293"/>
        <v/>
      </c>
      <c r="BH171" s="184" t="str">
        <f t="shared" si="294"/>
        <v/>
      </c>
      <c r="BI171" s="184" t="str">
        <f t="shared" si="295"/>
        <v/>
      </c>
      <c r="BJ171" s="184" t="str">
        <f t="shared" si="296"/>
        <v/>
      </c>
      <c r="BK171" s="184" t="str">
        <f t="shared" si="297"/>
        <v/>
      </c>
      <c r="BL171" s="184" t="str">
        <f t="shared" si="298"/>
        <v/>
      </c>
      <c r="BM171" s="184" t="str">
        <f t="shared" si="299"/>
        <v/>
      </c>
      <c r="BN171" s="184" t="str">
        <f t="shared" si="300"/>
        <v/>
      </c>
      <c r="BO171" s="184" t="str">
        <f t="shared" si="301"/>
        <v/>
      </c>
      <c r="BP171" s="184" t="str">
        <f t="shared" si="302"/>
        <v/>
      </c>
      <c r="BQ171" s="184" t="str">
        <f t="shared" si="303"/>
        <v/>
      </c>
      <c r="BR171" s="184" t="str">
        <f t="shared" si="375"/>
        <v/>
      </c>
      <c r="BS171" s="184" t="str">
        <f t="shared" si="375"/>
        <v/>
      </c>
      <c r="BT171" s="184" t="str">
        <f t="shared" si="375"/>
        <v/>
      </c>
      <c r="BU171" s="184" t="str">
        <f t="shared" si="305"/>
        <v/>
      </c>
      <c r="BV171" s="184" t="str">
        <f t="shared" si="306"/>
        <v/>
      </c>
      <c r="BW171" s="184" t="str">
        <f t="shared" si="307"/>
        <v/>
      </c>
      <c r="BX171" s="184" t="str">
        <f t="shared" si="308"/>
        <v/>
      </c>
      <c r="BY171" s="184" t="str">
        <f t="shared" si="309"/>
        <v/>
      </c>
      <c r="BZ171" s="184" t="str">
        <f t="shared" si="310"/>
        <v/>
      </c>
      <c r="CA171" s="184" t="str">
        <f t="shared" si="311"/>
        <v/>
      </c>
      <c r="CB171" s="184" t="str">
        <f t="shared" si="312"/>
        <v/>
      </c>
      <c r="CC171" s="184" t="str">
        <f t="shared" si="313"/>
        <v/>
      </c>
      <c r="CD171" s="184" t="str">
        <f t="shared" si="314"/>
        <v/>
      </c>
      <c r="CE171" s="184" t="str">
        <f t="shared" si="315"/>
        <v/>
      </c>
      <c r="CF171" s="184" t="str">
        <f t="shared" si="316"/>
        <v/>
      </c>
      <c r="CG171" s="184" t="str">
        <f t="shared" si="317"/>
        <v/>
      </c>
      <c r="CH171" s="184" t="str">
        <f t="shared" si="318"/>
        <v/>
      </c>
      <c r="CI171" s="184" t="str">
        <f t="shared" si="319"/>
        <v/>
      </c>
      <c r="CJ171" s="184" t="str">
        <f t="shared" si="320"/>
        <v/>
      </c>
      <c r="CK171" s="184"/>
      <c r="CM171" s="184"/>
      <c r="CN171"/>
      <c r="CP171"/>
      <c r="CR171"/>
      <c r="CT171"/>
      <c r="CV171"/>
      <c r="CX171"/>
      <c r="CZ171"/>
      <c r="DB171"/>
      <c r="DD171"/>
      <c r="DF171"/>
      <c r="ED171" s="184"/>
      <c r="EF171" s="184"/>
      <c r="EH171" s="184"/>
      <c r="EJ171" s="184"/>
      <c r="EL171" s="184"/>
      <c r="EN171" s="184"/>
      <c r="EP171" s="184"/>
      <c r="ER171" s="184"/>
      <c r="ET171" s="184"/>
      <c r="EV171" s="184"/>
      <c r="EX171" s="184"/>
      <c r="EZ171" s="184"/>
      <c r="FB171" s="184"/>
    </row>
    <row r="172" spans="1:158">
      <c r="A172" s="184">
        <f t="shared" si="368"/>
        <v>16</v>
      </c>
      <c r="B172" s="18">
        <f t="shared" si="325"/>
        <v>6541.6666666666733</v>
      </c>
      <c r="C172" s="18">
        <f t="shared" si="360"/>
        <v>8750</v>
      </c>
      <c r="D172" s="18">
        <f t="shared" si="361"/>
        <v>11566.666666666655</v>
      </c>
      <c r="E172" s="18">
        <f t="shared" si="336"/>
        <v>12800</v>
      </c>
      <c r="F172" s="18">
        <f t="shared" si="337"/>
        <v>6083.3333333333267</v>
      </c>
      <c r="G172" s="18">
        <f t="shared" si="338"/>
        <v>8108.3333333333267</v>
      </c>
      <c r="H172" s="18">
        <f t="shared" si="339"/>
        <v>11658.333333333345</v>
      </c>
      <c r="I172" s="18">
        <f t="shared" si="340"/>
        <v>6450</v>
      </c>
      <c r="J172" s="18">
        <f t="shared" si="341"/>
        <v>8591.6666666666697</v>
      </c>
      <c r="K172" s="18">
        <f t="shared" si="342"/>
        <v>11016.666666666655</v>
      </c>
      <c r="L172" s="18">
        <f t="shared" si="343"/>
        <v>13041.666666666653</v>
      </c>
      <c r="M172" s="18">
        <f t="shared" si="344"/>
        <v>15675</v>
      </c>
      <c r="N172" s="18">
        <f t="shared" si="345"/>
        <v>10535.833333333341</v>
      </c>
      <c r="O172" s="18">
        <f t="shared" si="346"/>
        <v>11816</v>
      </c>
      <c r="P172" s="18">
        <f t="shared" si="347"/>
        <v>16173.333333333347</v>
      </c>
      <c r="Q172" s="18">
        <f t="shared" si="348"/>
        <v>17763.333333333336</v>
      </c>
      <c r="R172" s="18">
        <f t="shared" si="349"/>
        <v>24160</v>
      </c>
      <c r="S172" s="18">
        <f t="shared" si="350"/>
        <v>15125</v>
      </c>
      <c r="T172" s="18">
        <f t="shared" si="351"/>
        <v>17762.5</v>
      </c>
      <c r="U172" s="18">
        <f t="shared" si="352"/>
        <v>20868.466666666649</v>
      </c>
      <c r="V172" s="18">
        <f t="shared" si="353"/>
        <v>24858</v>
      </c>
      <c r="W172" s="18">
        <f t="shared" si="354"/>
        <v>31210.599999999984</v>
      </c>
      <c r="X172" s="18">
        <f t="shared" si="355"/>
        <v>32269.500000000004</v>
      </c>
      <c r="Y172" s="18">
        <f t="shared" si="356"/>
        <v>42118.333333333387</v>
      </c>
      <c r="Z172" s="18">
        <f t="shared" si="356"/>
        <v>29820</v>
      </c>
      <c r="AA172" s="18">
        <f t="shared" ref="AA172:AB172" si="391">AA171+(AA$174-AA$150)/24</f>
        <v>38340</v>
      </c>
      <c r="AB172" s="18">
        <f t="shared" si="391"/>
        <v>48070</v>
      </c>
      <c r="AC172" s="18">
        <f t="shared" si="355"/>
        <v>10533.333333333347</v>
      </c>
      <c r="AD172" s="18">
        <f t="shared" ref="AD172:AR172" si="392">AD171+(AD$174-AD$150)/24</f>
        <v>12091.666666666653</v>
      </c>
      <c r="AE172" s="18">
        <f t="shared" si="392"/>
        <v>13600</v>
      </c>
      <c r="AF172" s="18">
        <f t="shared" si="392"/>
        <v>18000</v>
      </c>
      <c r="AG172" s="18">
        <f t="shared" si="392"/>
        <v>20300</v>
      </c>
      <c r="AH172" s="18">
        <f t="shared" ref="AH172:AK172" si="393">AH171+(AH$174-AH$150)/24</f>
        <v>13200</v>
      </c>
      <c r="AI172" s="18">
        <f t="shared" si="393"/>
        <v>14650</v>
      </c>
      <c r="AJ172" s="18">
        <f t="shared" si="393"/>
        <v>20291.666666666693</v>
      </c>
      <c r="AK172" s="18">
        <f t="shared" si="393"/>
        <v>22833.333333333307</v>
      </c>
      <c r="AL172" s="18">
        <f t="shared" si="392"/>
        <v>22000</v>
      </c>
      <c r="AM172" s="18">
        <f t="shared" si="392"/>
        <v>25000</v>
      </c>
      <c r="AN172" s="18">
        <f t="shared" si="392"/>
        <v>28600</v>
      </c>
      <c r="AO172" s="18">
        <f t="shared" si="392"/>
        <v>45000</v>
      </c>
      <c r="AP172" s="18">
        <f t="shared" si="392"/>
        <v>48000</v>
      </c>
      <c r="AQ172" s="18">
        <f t="shared" si="392"/>
        <v>54000</v>
      </c>
      <c r="AR172" s="18">
        <f t="shared" si="392"/>
        <v>147200</v>
      </c>
      <c r="AS172" s="18">
        <f t="shared" si="275"/>
        <v>28695.65217391304</v>
      </c>
      <c r="AT172" s="184" t="str">
        <f t="shared" si="280"/>
        <v/>
      </c>
      <c r="AU172" s="184" t="str">
        <f t="shared" si="281"/>
        <v/>
      </c>
      <c r="AV172" s="184" t="str">
        <f t="shared" si="282"/>
        <v/>
      </c>
      <c r="AW172" s="184" t="str">
        <f t="shared" si="283"/>
        <v/>
      </c>
      <c r="AX172" s="184" t="str">
        <f t="shared" si="284"/>
        <v/>
      </c>
      <c r="AY172" s="184" t="str">
        <f t="shared" si="285"/>
        <v/>
      </c>
      <c r="AZ172" s="184" t="str">
        <f t="shared" si="286"/>
        <v/>
      </c>
      <c r="BA172" s="184" t="str">
        <f t="shared" si="287"/>
        <v/>
      </c>
      <c r="BB172" s="184" t="str">
        <f t="shared" si="288"/>
        <v/>
      </c>
      <c r="BC172" s="184" t="str">
        <f t="shared" si="289"/>
        <v/>
      </c>
      <c r="BD172" s="184" t="str">
        <f t="shared" si="290"/>
        <v/>
      </c>
      <c r="BE172" s="184" t="str">
        <f t="shared" si="291"/>
        <v/>
      </c>
      <c r="BF172" s="184" t="str">
        <f t="shared" si="292"/>
        <v/>
      </c>
      <c r="BG172" s="184" t="str">
        <f t="shared" si="293"/>
        <v/>
      </c>
      <c r="BH172" s="184" t="str">
        <f t="shared" si="294"/>
        <v/>
      </c>
      <c r="BI172" s="184" t="str">
        <f t="shared" si="295"/>
        <v/>
      </c>
      <c r="BJ172" s="184" t="str">
        <f t="shared" si="296"/>
        <v/>
      </c>
      <c r="BK172" s="184" t="str">
        <f t="shared" si="297"/>
        <v/>
      </c>
      <c r="BL172" s="184" t="str">
        <f t="shared" si="298"/>
        <v/>
      </c>
      <c r="BM172" s="184" t="str">
        <f t="shared" si="299"/>
        <v/>
      </c>
      <c r="BN172" s="184" t="str">
        <f t="shared" si="300"/>
        <v/>
      </c>
      <c r="BO172" s="184" t="str">
        <f t="shared" si="301"/>
        <v/>
      </c>
      <c r="BP172" s="184" t="str">
        <f t="shared" si="302"/>
        <v/>
      </c>
      <c r="BQ172" s="184" t="str">
        <f t="shared" si="303"/>
        <v/>
      </c>
      <c r="BR172" s="184" t="str">
        <f t="shared" si="375"/>
        <v/>
      </c>
      <c r="BS172" s="184" t="str">
        <f t="shared" si="375"/>
        <v/>
      </c>
      <c r="BT172" s="184" t="str">
        <f t="shared" si="375"/>
        <v/>
      </c>
      <c r="BU172" s="184" t="str">
        <f t="shared" si="305"/>
        <v/>
      </c>
      <c r="BV172" s="184" t="str">
        <f t="shared" si="306"/>
        <v/>
      </c>
      <c r="BW172" s="184" t="str">
        <f t="shared" si="307"/>
        <v/>
      </c>
      <c r="BX172" s="184" t="str">
        <f t="shared" si="308"/>
        <v/>
      </c>
      <c r="BY172" s="184" t="str">
        <f t="shared" si="309"/>
        <v/>
      </c>
      <c r="BZ172" s="184" t="str">
        <f t="shared" si="310"/>
        <v/>
      </c>
      <c r="CA172" s="184" t="str">
        <f t="shared" si="311"/>
        <v/>
      </c>
      <c r="CB172" s="184" t="str">
        <f t="shared" si="312"/>
        <v/>
      </c>
      <c r="CC172" s="184" t="str">
        <f t="shared" si="313"/>
        <v/>
      </c>
      <c r="CD172" s="184" t="str">
        <f t="shared" si="314"/>
        <v/>
      </c>
      <c r="CE172" s="184" t="str">
        <f t="shared" si="315"/>
        <v/>
      </c>
      <c r="CF172" s="184" t="str">
        <f t="shared" si="316"/>
        <v/>
      </c>
      <c r="CG172" s="184" t="str">
        <f t="shared" si="317"/>
        <v/>
      </c>
      <c r="CH172" s="184" t="str">
        <f t="shared" si="318"/>
        <v/>
      </c>
      <c r="CI172" s="184" t="str">
        <f t="shared" si="319"/>
        <v/>
      </c>
      <c r="CJ172" s="184" t="str">
        <f t="shared" si="320"/>
        <v/>
      </c>
      <c r="CK172" s="184"/>
      <c r="CM172" s="184"/>
      <c r="CN172"/>
      <c r="CP172"/>
      <c r="CR172"/>
      <c r="CT172"/>
      <c r="CV172"/>
      <c r="CX172"/>
      <c r="CZ172"/>
      <c r="DB172"/>
      <c r="DD172"/>
      <c r="DF172"/>
      <c r="ED172" s="184"/>
      <c r="EF172" s="184"/>
      <c r="EH172" s="184"/>
      <c r="EJ172" s="184"/>
      <c r="EL172" s="184"/>
      <c r="EN172" s="184"/>
      <c r="EP172" s="184"/>
      <c r="ER172" s="184"/>
      <c r="ET172" s="184"/>
      <c r="EV172" s="184"/>
      <c r="EX172" s="184"/>
      <c r="EZ172" s="184"/>
      <c r="FB172" s="184"/>
    </row>
    <row r="173" spans="1:158">
      <c r="A173" s="184">
        <f t="shared" si="368"/>
        <v>16.5</v>
      </c>
      <c r="B173" s="18">
        <f t="shared" si="325"/>
        <v>6620.8333333333403</v>
      </c>
      <c r="C173" s="18">
        <f t="shared" si="360"/>
        <v>8875</v>
      </c>
      <c r="D173" s="18">
        <f t="shared" si="361"/>
        <v>11733.333333333321</v>
      </c>
      <c r="E173" s="18">
        <f t="shared" si="336"/>
        <v>12950</v>
      </c>
      <c r="F173" s="18">
        <f t="shared" si="337"/>
        <v>6141.6666666666597</v>
      </c>
      <c r="G173" s="18">
        <f t="shared" si="338"/>
        <v>8204.1666666666606</v>
      </c>
      <c r="H173" s="18">
        <f t="shared" si="339"/>
        <v>11829.166666666679</v>
      </c>
      <c r="I173" s="18">
        <f t="shared" si="340"/>
        <v>6525</v>
      </c>
      <c r="J173" s="18">
        <f t="shared" si="341"/>
        <v>8695.8333333333358</v>
      </c>
      <c r="K173" s="18">
        <f t="shared" si="342"/>
        <v>11158.333333333321</v>
      </c>
      <c r="L173" s="18">
        <f t="shared" si="343"/>
        <v>13220.833333333319</v>
      </c>
      <c r="M173" s="18">
        <f t="shared" si="344"/>
        <v>15837.5</v>
      </c>
      <c r="N173" s="18">
        <f t="shared" si="345"/>
        <v>10667.916666666675</v>
      </c>
      <c r="O173" s="18">
        <f t="shared" si="346"/>
        <v>11908</v>
      </c>
      <c r="P173" s="18">
        <f t="shared" si="347"/>
        <v>16286.666666666681</v>
      </c>
      <c r="Q173" s="18">
        <f t="shared" si="348"/>
        <v>17981.666666666668</v>
      </c>
      <c r="R173" s="18">
        <f t="shared" si="349"/>
        <v>24380</v>
      </c>
      <c r="S173" s="18">
        <f t="shared" si="350"/>
        <v>15312.5</v>
      </c>
      <c r="T173" s="18">
        <f t="shared" si="351"/>
        <v>17956.25</v>
      </c>
      <c r="U173" s="18">
        <f t="shared" si="352"/>
        <v>21102.033333333315</v>
      </c>
      <c r="V173" s="18">
        <f t="shared" si="353"/>
        <v>25137</v>
      </c>
      <c r="W173" s="18">
        <f t="shared" si="354"/>
        <v>31560.899999999983</v>
      </c>
      <c r="X173" s="18">
        <f t="shared" si="355"/>
        <v>32361.750000000004</v>
      </c>
      <c r="Y173" s="18">
        <f t="shared" si="356"/>
        <v>42559.166666666722</v>
      </c>
      <c r="Z173" s="18">
        <f t="shared" si="356"/>
        <v>30030</v>
      </c>
      <c r="AA173" s="18">
        <f t="shared" ref="AA173:AB173" si="394">AA172+(AA$174-AA$150)/24</f>
        <v>38610</v>
      </c>
      <c r="AB173" s="18">
        <f t="shared" si="394"/>
        <v>48455</v>
      </c>
      <c r="AC173" s="18">
        <f t="shared" si="355"/>
        <v>10616.666666666681</v>
      </c>
      <c r="AD173" s="18">
        <f t="shared" ref="AD173:AR173" si="395">AD172+(AD$174-AD$150)/24</f>
        <v>12145.833333333319</v>
      </c>
      <c r="AE173" s="18">
        <f t="shared" si="395"/>
        <v>13600</v>
      </c>
      <c r="AF173" s="18">
        <f t="shared" si="395"/>
        <v>18000</v>
      </c>
      <c r="AG173" s="18">
        <f t="shared" si="395"/>
        <v>20300</v>
      </c>
      <c r="AH173" s="18">
        <f t="shared" ref="AH173:AK173" si="396">AH172+(AH$174-AH$150)/24</f>
        <v>13300</v>
      </c>
      <c r="AI173" s="18">
        <f t="shared" si="396"/>
        <v>14725</v>
      </c>
      <c r="AJ173" s="18">
        <f t="shared" si="396"/>
        <v>20395.833333333361</v>
      </c>
      <c r="AK173" s="18">
        <f t="shared" si="396"/>
        <v>22916.666666666639</v>
      </c>
      <c r="AL173" s="18">
        <f t="shared" si="395"/>
        <v>22000</v>
      </c>
      <c r="AM173" s="18">
        <f t="shared" si="395"/>
        <v>25000</v>
      </c>
      <c r="AN173" s="18">
        <f t="shared" si="395"/>
        <v>28600</v>
      </c>
      <c r="AO173" s="18">
        <f t="shared" si="395"/>
        <v>45000</v>
      </c>
      <c r="AP173" s="18">
        <f t="shared" si="395"/>
        <v>48000</v>
      </c>
      <c r="AQ173" s="18">
        <f t="shared" si="395"/>
        <v>54000</v>
      </c>
      <c r="AR173" s="18">
        <f t="shared" si="395"/>
        <v>147200</v>
      </c>
      <c r="AS173" s="18">
        <f t="shared" si="275"/>
        <v>28369.565217391304</v>
      </c>
      <c r="AT173" s="184" t="str">
        <f t="shared" si="280"/>
        <v/>
      </c>
      <c r="AU173" s="184" t="str">
        <f t="shared" si="281"/>
        <v/>
      </c>
      <c r="AV173" s="184" t="str">
        <f t="shared" si="282"/>
        <v/>
      </c>
      <c r="AW173" s="184" t="str">
        <f t="shared" si="283"/>
        <v/>
      </c>
      <c r="AX173" s="184" t="str">
        <f t="shared" si="284"/>
        <v/>
      </c>
      <c r="AY173" s="184" t="str">
        <f t="shared" si="285"/>
        <v/>
      </c>
      <c r="AZ173" s="184" t="str">
        <f t="shared" si="286"/>
        <v/>
      </c>
      <c r="BA173" s="184" t="str">
        <f t="shared" si="287"/>
        <v/>
      </c>
      <c r="BB173" s="184" t="str">
        <f t="shared" si="288"/>
        <v/>
      </c>
      <c r="BC173" s="184" t="str">
        <f t="shared" si="289"/>
        <v/>
      </c>
      <c r="BD173" s="184" t="str">
        <f t="shared" si="290"/>
        <v/>
      </c>
      <c r="BE173" s="184" t="str">
        <f t="shared" si="291"/>
        <v/>
      </c>
      <c r="BF173" s="184" t="str">
        <f t="shared" si="292"/>
        <v/>
      </c>
      <c r="BG173" s="184" t="str">
        <f t="shared" si="293"/>
        <v/>
      </c>
      <c r="BH173" s="184" t="str">
        <f t="shared" si="294"/>
        <v/>
      </c>
      <c r="BI173" s="184" t="str">
        <f t="shared" si="295"/>
        <v/>
      </c>
      <c r="BJ173" s="184" t="str">
        <f t="shared" si="296"/>
        <v/>
      </c>
      <c r="BK173" s="184" t="str">
        <f t="shared" si="297"/>
        <v/>
      </c>
      <c r="BL173" s="184" t="str">
        <f t="shared" si="298"/>
        <v/>
      </c>
      <c r="BM173" s="184" t="str">
        <f t="shared" si="299"/>
        <v/>
      </c>
      <c r="BN173" s="184" t="str">
        <f t="shared" si="300"/>
        <v/>
      </c>
      <c r="BO173" s="184" t="str">
        <f t="shared" si="301"/>
        <v/>
      </c>
      <c r="BP173" s="184" t="str">
        <f t="shared" si="302"/>
        <v/>
      </c>
      <c r="BQ173" s="184" t="str">
        <f t="shared" si="303"/>
        <v/>
      </c>
      <c r="BR173" s="184" t="str">
        <f t="shared" si="375"/>
        <v/>
      </c>
      <c r="BS173" s="184" t="str">
        <f t="shared" si="375"/>
        <v/>
      </c>
      <c r="BT173" s="184" t="str">
        <f t="shared" si="375"/>
        <v/>
      </c>
      <c r="BU173" s="184" t="str">
        <f t="shared" si="305"/>
        <v/>
      </c>
      <c r="BV173" s="184" t="str">
        <f t="shared" si="306"/>
        <v/>
      </c>
      <c r="BW173" s="184" t="str">
        <f t="shared" si="307"/>
        <v/>
      </c>
      <c r="BX173" s="184" t="str">
        <f t="shared" si="308"/>
        <v/>
      </c>
      <c r="BY173" s="184" t="str">
        <f t="shared" si="309"/>
        <v/>
      </c>
      <c r="BZ173" s="184" t="str">
        <f t="shared" si="310"/>
        <v/>
      </c>
      <c r="CA173" s="184" t="str">
        <f t="shared" si="311"/>
        <v/>
      </c>
      <c r="CB173" s="184" t="str">
        <f t="shared" si="312"/>
        <v/>
      </c>
      <c r="CC173" s="184" t="str">
        <f t="shared" si="313"/>
        <v/>
      </c>
      <c r="CD173" s="184" t="str">
        <f t="shared" si="314"/>
        <v/>
      </c>
      <c r="CE173" s="184" t="str">
        <f t="shared" si="315"/>
        <v/>
      </c>
      <c r="CF173" s="184">
        <f t="shared" si="316"/>
        <v>1</v>
      </c>
      <c r="CG173" s="184" t="str">
        <f t="shared" si="317"/>
        <v/>
      </c>
      <c r="CH173" s="184" t="str">
        <f t="shared" si="318"/>
        <v/>
      </c>
      <c r="CI173" s="184" t="str">
        <f t="shared" si="319"/>
        <v/>
      </c>
      <c r="CJ173" s="184" t="str">
        <f t="shared" si="320"/>
        <v/>
      </c>
      <c r="CK173" s="184"/>
      <c r="CM173" s="184"/>
      <c r="CN173"/>
      <c r="CP173"/>
      <c r="CR173"/>
      <c r="CT173"/>
      <c r="CV173"/>
      <c r="CX173"/>
      <c r="CZ173"/>
      <c r="DB173"/>
      <c r="DD173"/>
      <c r="DF173"/>
      <c r="ED173" s="184"/>
      <c r="EF173" s="184"/>
      <c r="EH173" s="184"/>
      <c r="EJ173" s="184"/>
      <c r="EL173" s="184"/>
      <c r="EN173" s="184"/>
      <c r="EP173" s="184"/>
      <c r="ER173" s="184"/>
      <c r="ET173" s="184"/>
      <c r="EV173" s="184"/>
      <c r="EX173" s="184"/>
      <c r="EZ173" s="184"/>
      <c r="FB173" s="184"/>
    </row>
    <row r="174" spans="1:158">
      <c r="A174" s="184">
        <f t="shared" si="368"/>
        <v>17</v>
      </c>
      <c r="B174">
        <f t="shared" ref="B174:Y174" si="397">VLOOKUP(B84,non_table,4,FALSE)</f>
        <v>6700</v>
      </c>
      <c r="C174" s="184">
        <f t="shared" si="397"/>
        <v>9000</v>
      </c>
      <c r="D174" s="184">
        <f t="shared" si="397"/>
        <v>11900</v>
      </c>
      <c r="E174" s="184">
        <f t="shared" si="397"/>
        <v>13100</v>
      </c>
      <c r="F174" s="184">
        <f t="shared" si="397"/>
        <v>6200</v>
      </c>
      <c r="G174" s="184">
        <f t="shared" si="397"/>
        <v>8300</v>
      </c>
      <c r="H174" s="184">
        <f t="shared" si="397"/>
        <v>12000</v>
      </c>
      <c r="I174" s="184">
        <f t="shared" si="397"/>
        <v>6600</v>
      </c>
      <c r="J174" s="184">
        <f t="shared" si="397"/>
        <v>8800</v>
      </c>
      <c r="K174" s="184">
        <f t="shared" si="397"/>
        <v>11300</v>
      </c>
      <c r="L174" s="184">
        <f t="shared" si="397"/>
        <v>13400</v>
      </c>
      <c r="M174" s="184">
        <f t="shared" si="397"/>
        <v>16000</v>
      </c>
      <c r="N174" s="184">
        <f t="shared" si="397"/>
        <v>10800</v>
      </c>
      <c r="O174" s="184">
        <f t="shared" si="397"/>
        <v>12000</v>
      </c>
      <c r="P174" s="184">
        <f t="shared" si="397"/>
        <v>16400</v>
      </c>
      <c r="Q174" s="184">
        <f t="shared" si="397"/>
        <v>18200</v>
      </c>
      <c r="R174" s="184">
        <f t="shared" si="397"/>
        <v>24600</v>
      </c>
      <c r="S174" s="184">
        <f t="shared" si="397"/>
        <v>15500</v>
      </c>
      <c r="T174" s="184">
        <f t="shared" si="397"/>
        <v>18150</v>
      </c>
      <c r="U174" s="184">
        <f t="shared" si="397"/>
        <v>21335.599999999999</v>
      </c>
      <c r="V174" s="184">
        <f t="shared" si="397"/>
        <v>25416</v>
      </c>
      <c r="W174" s="184">
        <f t="shared" si="397"/>
        <v>31911.199999999997</v>
      </c>
      <c r="X174" s="184">
        <f t="shared" si="397"/>
        <v>32454</v>
      </c>
      <c r="Y174" s="184">
        <f t="shared" si="397"/>
        <v>43000</v>
      </c>
      <c r="Z174" s="184">
        <f t="shared" ref="Z174:AB174" si="398">VLOOKUP(Z84,non_table,4,FALSE)</f>
        <v>30240</v>
      </c>
      <c r="AA174" s="184">
        <f t="shared" si="398"/>
        <v>38880</v>
      </c>
      <c r="AB174" s="184">
        <f t="shared" si="398"/>
        <v>48840</v>
      </c>
      <c r="AC174" s="184">
        <f t="shared" ref="AC174:AR174" si="399">VLOOKUP(AC84,non_table,4,FALSE)</f>
        <v>10700</v>
      </c>
      <c r="AD174" s="184">
        <f t="shared" si="399"/>
        <v>12200</v>
      </c>
      <c r="AE174" s="184">
        <f t="shared" si="399"/>
        <v>13600</v>
      </c>
      <c r="AF174" s="184">
        <f t="shared" si="399"/>
        <v>18000</v>
      </c>
      <c r="AG174" s="184">
        <f t="shared" si="399"/>
        <v>20300</v>
      </c>
      <c r="AH174" s="184">
        <f t="shared" ref="AH174:AK174" si="400">VLOOKUP(AH84,non_table,4,FALSE)</f>
        <v>13400</v>
      </c>
      <c r="AI174" s="184">
        <f t="shared" si="400"/>
        <v>14800</v>
      </c>
      <c r="AJ174" s="184">
        <f t="shared" si="400"/>
        <v>20500</v>
      </c>
      <c r="AK174" s="184">
        <f t="shared" si="400"/>
        <v>23000</v>
      </c>
      <c r="AL174" s="184">
        <f t="shared" si="399"/>
        <v>22000</v>
      </c>
      <c r="AM174" s="184">
        <f t="shared" si="399"/>
        <v>25000</v>
      </c>
      <c r="AN174" s="184">
        <f t="shared" si="399"/>
        <v>28600</v>
      </c>
      <c r="AO174" s="184">
        <f t="shared" si="399"/>
        <v>45000</v>
      </c>
      <c r="AP174" s="184">
        <f t="shared" si="399"/>
        <v>48000</v>
      </c>
      <c r="AQ174" s="184">
        <f t="shared" si="399"/>
        <v>54000</v>
      </c>
      <c r="AR174" s="184">
        <f t="shared" si="399"/>
        <v>147200</v>
      </c>
      <c r="AS174" s="18">
        <f t="shared" si="275"/>
        <v>28043.478260869564</v>
      </c>
      <c r="AT174" s="184" t="str">
        <f t="shared" si="280"/>
        <v/>
      </c>
      <c r="AU174" s="184" t="str">
        <f t="shared" si="281"/>
        <v/>
      </c>
      <c r="AV174" s="184" t="str">
        <f t="shared" si="282"/>
        <v/>
      </c>
      <c r="AW174" s="184" t="str">
        <f t="shared" si="283"/>
        <v/>
      </c>
      <c r="AX174" s="184" t="str">
        <f t="shared" si="284"/>
        <v/>
      </c>
      <c r="AY174" s="184" t="str">
        <f t="shared" si="285"/>
        <v/>
      </c>
      <c r="AZ174" s="184" t="str">
        <f t="shared" si="286"/>
        <v/>
      </c>
      <c r="BA174" s="184" t="str">
        <f t="shared" si="287"/>
        <v/>
      </c>
      <c r="BB174" s="184" t="str">
        <f t="shared" si="288"/>
        <v/>
      </c>
      <c r="BC174" s="184" t="str">
        <f t="shared" si="289"/>
        <v/>
      </c>
      <c r="BD174" s="184" t="str">
        <f t="shared" si="290"/>
        <v/>
      </c>
      <c r="BE174" s="184" t="str">
        <f t="shared" si="291"/>
        <v/>
      </c>
      <c r="BF174" s="184" t="str">
        <f t="shared" si="292"/>
        <v/>
      </c>
      <c r="BG174" s="184" t="str">
        <f t="shared" si="293"/>
        <v/>
      </c>
      <c r="BH174" s="184" t="str">
        <f t="shared" si="294"/>
        <v/>
      </c>
      <c r="BI174" s="184" t="str">
        <f t="shared" si="295"/>
        <v/>
      </c>
      <c r="BJ174" s="184" t="str">
        <f t="shared" si="296"/>
        <v/>
      </c>
      <c r="BK174" s="184" t="str">
        <f t="shared" si="297"/>
        <v/>
      </c>
      <c r="BL174" s="184" t="str">
        <f t="shared" si="298"/>
        <v/>
      </c>
      <c r="BM174" s="184" t="str">
        <f t="shared" si="299"/>
        <v/>
      </c>
      <c r="BN174" s="184" t="str">
        <f t="shared" si="300"/>
        <v/>
      </c>
      <c r="BO174" s="184" t="str">
        <f t="shared" si="301"/>
        <v/>
      </c>
      <c r="BP174" s="184" t="str">
        <f t="shared" si="302"/>
        <v/>
      </c>
      <c r="BQ174" s="184" t="str">
        <f t="shared" si="303"/>
        <v/>
      </c>
      <c r="BR174" s="184" t="str">
        <f t="shared" si="375"/>
        <v/>
      </c>
      <c r="BS174" s="184" t="str">
        <f t="shared" si="375"/>
        <v/>
      </c>
      <c r="BT174" s="184" t="str">
        <f t="shared" si="375"/>
        <v/>
      </c>
      <c r="BU174" s="184" t="str">
        <f t="shared" si="305"/>
        <v/>
      </c>
      <c r="BV174" s="184" t="str">
        <f t="shared" si="306"/>
        <v/>
      </c>
      <c r="BW174" s="184" t="str">
        <f t="shared" si="307"/>
        <v/>
      </c>
      <c r="BX174" s="184" t="str">
        <f t="shared" si="308"/>
        <v/>
      </c>
      <c r="BY174" s="184" t="str">
        <f t="shared" si="309"/>
        <v/>
      </c>
      <c r="BZ174" s="184" t="str">
        <f t="shared" si="310"/>
        <v/>
      </c>
      <c r="CA174" s="184" t="str">
        <f t="shared" si="311"/>
        <v/>
      </c>
      <c r="CB174" s="184" t="str">
        <f t="shared" si="312"/>
        <v/>
      </c>
      <c r="CC174" s="184" t="str">
        <f t="shared" si="313"/>
        <v/>
      </c>
      <c r="CD174" s="184" t="str">
        <f t="shared" si="314"/>
        <v/>
      </c>
      <c r="CE174" s="184" t="str">
        <f t="shared" si="315"/>
        <v/>
      </c>
      <c r="CF174" s="184" t="str">
        <f t="shared" si="316"/>
        <v/>
      </c>
      <c r="CG174" s="184" t="str">
        <f t="shared" si="317"/>
        <v/>
      </c>
      <c r="CH174" s="184" t="str">
        <f t="shared" si="318"/>
        <v/>
      </c>
      <c r="CI174" s="184" t="str">
        <f t="shared" si="319"/>
        <v/>
      </c>
      <c r="CJ174" s="184" t="str">
        <f t="shared" si="320"/>
        <v/>
      </c>
      <c r="CK174" s="184"/>
      <c r="CM174" s="184"/>
      <c r="CN174"/>
      <c r="CP174"/>
      <c r="CR174"/>
      <c r="CT174"/>
      <c r="CV174"/>
      <c r="CX174"/>
      <c r="CZ174"/>
      <c r="DB174"/>
      <c r="DD174"/>
      <c r="DF174"/>
      <c r="ED174" s="184"/>
      <c r="EF174" s="184"/>
      <c r="EH174" s="184"/>
      <c r="EJ174" s="184"/>
      <c r="EL174" s="184"/>
      <c r="EN174" s="184"/>
      <c r="EP174" s="184"/>
      <c r="ER174" s="184"/>
      <c r="ET174" s="184"/>
      <c r="EV174" s="184"/>
      <c r="EX174" s="184"/>
      <c r="EZ174" s="184"/>
      <c r="FB174" s="184"/>
    </row>
    <row r="175" spans="1:158">
      <c r="A175" s="184">
        <f t="shared" si="368"/>
        <v>17.5</v>
      </c>
      <c r="B175" s="18">
        <f>B174+(B$234-B$174)/60</f>
        <v>6770</v>
      </c>
      <c r="C175" s="18">
        <f t="shared" ref="C175:Y186" si="401">C174+(C$234-C$174)/60</f>
        <v>9076.6666666666661</v>
      </c>
      <c r="D175" s="18">
        <f t="shared" si="401"/>
        <v>12001.666666666666</v>
      </c>
      <c r="E175" s="18">
        <f t="shared" si="401"/>
        <v>13241.666666666666</v>
      </c>
      <c r="F175" s="18">
        <f t="shared" si="401"/>
        <v>6278.333333333333</v>
      </c>
      <c r="G175" s="18">
        <f t="shared" si="401"/>
        <v>8388.3333333333339</v>
      </c>
      <c r="H175" s="18">
        <f t="shared" si="401"/>
        <v>12100</v>
      </c>
      <c r="I175" s="18">
        <f t="shared" si="401"/>
        <v>6671.666666666667</v>
      </c>
      <c r="J175" s="18">
        <f t="shared" si="401"/>
        <v>8893.3333333333339</v>
      </c>
      <c r="K175" s="18">
        <f t="shared" si="401"/>
        <v>11411.666666666666</v>
      </c>
      <c r="L175" s="18">
        <f t="shared" si="401"/>
        <v>13536.666666666666</v>
      </c>
      <c r="M175" s="18">
        <f t="shared" si="401"/>
        <v>16193.333333333334</v>
      </c>
      <c r="N175" s="18">
        <f t="shared" si="401"/>
        <v>10855</v>
      </c>
      <c r="O175" s="18">
        <f t="shared" si="401"/>
        <v>12101.666666666666</v>
      </c>
      <c r="P175" s="18">
        <f t="shared" si="401"/>
        <v>16475</v>
      </c>
      <c r="Q175" s="18">
        <f t="shared" si="401"/>
        <v>18313.333333333332</v>
      </c>
      <c r="R175" s="18">
        <f t="shared" si="401"/>
        <v>24805</v>
      </c>
      <c r="S175" s="18">
        <f t="shared" si="401"/>
        <v>15608.333333333334</v>
      </c>
      <c r="T175" s="18">
        <f t="shared" si="401"/>
        <v>18264.166666666668</v>
      </c>
      <c r="U175" s="18">
        <f t="shared" si="401"/>
        <v>21456.673333333332</v>
      </c>
      <c r="V175" s="18">
        <f t="shared" si="401"/>
        <v>25592.400000000001</v>
      </c>
      <c r="W175" s="18">
        <f t="shared" si="401"/>
        <v>32132.679999999997</v>
      </c>
      <c r="X175" s="18">
        <f t="shared" si="401"/>
        <v>32813.1</v>
      </c>
      <c r="Y175" s="18">
        <f t="shared" si="401"/>
        <v>43183.333333333336</v>
      </c>
      <c r="Z175" s="18">
        <f t="shared" ref="Z175:AB185" si="402">Z174+(Z$234-Z$174)/60</f>
        <v>30469.333333333332</v>
      </c>
      <c r="AA175" s="18">
        <f t="shared" si="402"/>
        <v>39098.666666666664</v>
      </c>
      <c r="AB175" s="18">
        <f t="shared" si="402"/>
        <v>49126</v>
      </c>
      <c r="AC175" s="18">
        <f t="shared" ref="AC175:AR185" si="403">AC174+(AC$234-AC$174)/60</f>
        <v>10755</v>
      </c>
      <c r="AD175" s="18">
        <f t="shared" si="403"/>
        <v>12296.666666666666</v>
      </c>
      <c r="AE175" s="18">
        <f t="shared" si="403"/>
        <v>13723.333333333334</v>
      </c>
      <c r="AF175" s="18">
        <f t="shared" si="403"/>
        <v>18100</v>
      </c>
      <c r="AG175" s="18">
        <f t="shared" si="403"/>
        <v>20461.666666666668</v>
      </c>
      <c r="AH175" s="18">
        <f t="shared" ref="AH175:AK175" si="404">AH174+(AH$234-AH$174)/60</f>
        <v>13493.333333333334</v>
      </c>
      <c r="AI175" s="18">
        <f t="shared" si="404"/>
        <v>14933.333333333334</v>
      </c>
      <c r="AJ175" s="18">
        <f t="shared" si="404"/>
        <v>20575</v>
      </c>
      <c r="AK175" s="18">
        <f t="shared" si="404"/>
        <v>23100</v>
      </c>
      <c r="AL175" s="18">
        <f t="shared" si="403"/>
        <v>22000</v>
      </c>
      <c r="AM175" s="18">
        <f t="shared" si="403"/>
        <v>25000</v>
      </c>
      <c r="AN175" s="18">
        <f t="shared" si="403"/>
        <v>28600</v>
      </c>
      <c r="AO175" s="18">
        <f t="shared" si="403"/>
        <v>45000</v>
      </c>
      <c r="AP175" s="18">
        <f t="shared" si="403"/>
        <v>48000</v>
      </c>
      <c r="AQ175" s="18">
        <f t="shared" si="403"/>
        <v>54000</v>
      </c>
      <c r="AR175" s="18">
        <f t="shared" si="403"/>
        <v>147200</v>
      </c>
      <c r="AS175" s="18">
        <f t="shared" si="275"/>
        <v>27717.391304347824</v>
      </c>
      <c r="AT175" s="184" t="str">
        <f t="shared" si="280"/>
        <v/>
      </c>
      <c r="AU175" s="184" t="str">
        <f t="shared" si="281"/>
        <v/>
      </c>
      <c r="AV175" s="184" t="str">
        <f t="shared" si="282"/>
        <v/>
      </c>
      <c r="AW175" s="184" t="str">
        <f t="shared" si="283"/>
        <v/>
      </c>
      <c r="AX175" s="184" t="str">
        <f t="shared" si="284"/>
        <v/>
      </c>
      <c r="AY175" s="184" t="str">
        <f t="shared" si="285"/>
        <v/>
      </c>
      <c r="AZ175" s="184" t="str">
        <f t="shared" si="286"/>
        <v/>
      </c>
      <c r="BA175" s="184" t="str">
        <f t="shared" si="287"/>
        <v/>
      </c>
      <c r="BB175" s="184" t="str">
        <f t="shared" si="288"/>
        <v/>
      </c>
      <c r="BC175" s="184" t="str">
        <f t="shared" si="289"/>
        <v/>
      </c>
      <c r="BD175" s="184" t="str">
        <f t="shared" si="290"/>
        <v/>
      </c>
      <c r="BE175" s="184" t="str">
        <f t="shared" si="291"/>
        <v/>
      </c>
      <c r="BF175" s="184" t="str">
        <f t="shared" si="292"/>
        <v/>
      </c>
      <c r="BG175" s="184" t="str">
        <f t="shared" si="293"/>
        <v/>
      </c>
      <c r="BH175" s="184" t="str">
        <f t="shared" si="294"/>
        <v/>
      </c>
      <c r="BI175" s="184" t="str">
        <f t="shared" si="295"/>
        <v/>
      </c>
      <c r="BJ175" s="184" t="str">
        <f t="shared" si="296"/>
        <v/>
      </c>
      <c r="BK175" s="184" t="str">
        <f t="shared" si="297"/>
        <v/>
      </c>
      <c r="BL175" s="184" t="str">
        <f t="shared" si="298"/>
        <v/>
      </c>
      <c r="BM175" s="184" t="str">
        <f t="shared" si="299"/>
        <v/>
      </c>
      <c r="BN175" s="184" t="str">
        <f t="shared" si="300"/>
        <v/>
      </c>
      <c r="BO175" s="184" t="str">
        <f t="shared" si="301"/>
        <v/>
      </c>
      <c r="BP175" s="184" t="str">
        <f t="shared" si="302"/>
        <v/>
      </c>
      <c r="BQ175" s="184" t="str">
        <f t="shared" si="303"/>
        <v/>
      </c>
      <c r="BR175" s="184" t="str">
        <f t="shared" si="375"/>
        <v/>
      </c>
      <c r="BS175" s="184" t="str">
        <f t="shared" si="375"/>
        <v/>
      </c>
      <c r="BT175" s="184" t="str">
        <f t="shared" si="375"/>
        <v/>
      </c>
      <c r="BU175" s="184" t="str">
        <f t="shared" si="305"/>
        <v/>
      </c>
      <c r="BV175" s="184" t="str">
        <f t="shared" si="306"/>
        <v/>
      </c>
      <c r="BW175" s="184" t="str">
        <f t="shared" si="307"/>
        <v/>
      </c>
      <c r="BX175" s="184" t="str">
        <f t="shared" si="308"/>
        <v/>
      </c>
      <c r="BY175" s="184" t="str">
        <f t="shared" si="309"/>
        <v/>
      </c>
      <c r="BZ175" s="184" t="str">
        <f t="shared" si="310"/>
        <v/>
      </c>
      <c r="CA175" s="184" t="str">
        <f t="shared" si="311"/>
        <v/>
      </c>
      <c r="CB175" s="184" t="str">
        <f t="shared" si="312"/>
        <v/>
      </c>
      <c r="CC175" s="184" t="str">
        <f t="shared" si="313"/>
        <v/>
      </c>
      <c r="CD175" s="184" t="str">
        <f t="shared" si="314"/>
        <v/>
      </c>
      <c r="CE175" s="184" t="str">
        <f t="shared" si="315"/>
        <v/>
      </c>
      <c r="CF175" s="184" t="str">
        <f t="shared" si="316"/>
        <v/>
      </c>
      <c r="CG175" s="184" t="str">
        <f t="shared" si="317"/>
        <v/>
      </c>
      <c r="CH175" s="184" t="str">
        <f t="shared" si="318"/>
        <v/>
      </c>
      <c r="CI175" s="184" t="str">
        <f t="shared" si="319"/>
        <v/>
      </c>
      <c r="CJ175" s="184" t="str">
        <f t="shared" si="320"/>
        <v/>
      </c>
      <c r="CK175" s="184"/>
      <c r="CM175" s="184"/>
      <c r="CN175"/>
      <c r="CP175"/>
      <c r="CR175"/>
      <c r="CT175"/>
      <c r="CV175"/>
      <c r="CX175"/>
      <c r="CZ175"/>
      <c r="DB175"/>
      <c r="DD175"/>
      <c r="DF175"/>
      <c r="ED175" s="184"/>
      <c r="EF175" s="184"/>
      <c r="EH175" s="184"/>
      <c r="EJ175" s="184"/>
      <c r="EL175" s="184"/>
      <c r="EN175" s="184"/>
      <c r="EP175" s="184"/>
      <c r="ER175" s="184"/>
      <c r="ET175" s="184"/>
      <c r="EV175" s="184"/>
      <c r="EX175" s="184"/>
      <c r="EZ175" s="184"/>
      <c r="FB175" s="184"/>
    </row>
    <row r="176" spans="1:158">
      <c r="A176" s="184">
        <f t="shared" si="368"/>
        <v>18</v>
      </c>
      <c r="B176" s="18">
        <f t="shared" ref="B176:B233" si="405">B175+(B$234-B$174)/60</f>
        <v>6840</v>
      </c>
      <c r="C176" s="18">
        <f t="shared" si="401"/>
        <v>9153.3333333333321</v>
      </c>
      <c r="D176" s="18">
        <f t="shared" si="401"/>
        <v>12103.333333333332</v>
      </c>
      <c r="E176" s="18">
        <f t="shared" si="401"/>
        <v>13383.333333333332</v>
      </c>
      <c r="F176" s="18">
        <f t="shared" si="401"/>
        <v>6356.6666666666661</v>
      </c>
      <c r="G176" s="18">
        <f t="shared" si="401"/>
        <v>8476.6666666666679</v>
      </c>
      <c r="H176" s="18">
        <f t="shared" si="401"/>
        <v>12200</v>
      </c>
      <c r="I176" s="18">
        <f t="shared" si="401"/>
        <v>6743.3333333333339</v>
      </c>
      <c r="J176" s="18">
        <f t="shared" si="401"/>
        <v>8986.6666666666679</v>
      </c>
      <c r="K176" s="18">
        <f t="shared" si="401"/>
        <v>11523.333333333332</v>
      </c>
      <c r="L176" s="18">
        <f t="shared" si="401"/>
        <v>13673.333333333332</v>
      </c>
      <c r="M176" s="18">
        <f t="shared" si="401"/>
        <v>16386.666666666668</v>
      </c>
      <c r="N176" s="18">
        <f t="shared" si="401"/>
        <v>10910</v>
      </c>
      <c r="O176" s="18">
        <f t="shared" si="401"/>
        <v>12203.333333333332</v>
      </c>
      <c r="P176" s="18">
        <f t="shared" si="401"/>
        <v>16550</v>
      </c>
      <c r="Q176" s="18">
        <f t="shared" si="401"/>
        <v>18426.666666666664</v>
      </c>
      <c r="R176" s="18">
        <f t="shared" si="401"/>
        <v>25010</v>
      </c>
      <c r="S176" s="18">
        <f t="shared" si="401"/>
        <v>15716.666666666668</v>
      </c>
      <c r="T176" s="18">
        <f t="shared" si="401"/>
        <v>18378.333333333336</v>
      </c>
      <c r="U176" s="18">
        <f t="shared" si="401"/>
        <v>21577.746666666666</v>
      </c>
      <c r="V176" s="18">
        <f t="shared" si="401"/>
        <v>25768.800000000003</v>
      </c>
      <c r="W176" s="18">
        <f t="shared" si="401"/>
        <v>32354.159999999996</v>
      </c>
      <c r="X176" s="18">
        <f t="shared" si="401"/>
        <v>33172.199999999997</v>
      </c>
      <c r="Y176" s="18">
        <f t="shared" si="401"/>
        <v>43366.666666666672</v>
      </c>
      <c r="Z176" s="18">
        <f t="shared" si="402"/>
        <v>30698.666666666664</v>
      </c>
      <c r="AA176" s="18">
        <f t="shared" si="402"/>
        <v>39317.333333333328</v>
      </c>
      <c r="AB176" s="18">
        <f t="shared" si="402"/>
        <v>49412</v>
      </c>
      <c r="AC176" s="18">
        <f t="shared" si="403"/>
        <v>10810</v>
      </c>
      <c r="AD176" s="18">
        <f t="shared" si="403"/>
        <v>12393.333333333332</v>
      </c>
      <c r="AE176" s="18">
        <f t="shared" si="403"/>
        <v>13846.666666666668</v>
      </c>
      <c r="AF176" s="18">
        <f t="shared" si="403"/>
        <v>18200</v>
      </c>
      <c r="AG176" s="18">
        <f t="shared" si="403"/>
        <v>20623.333333333336</v>
      </c>
      <c r="AH176" s="18">
        <f t="shared" ref="AH176:AK176" si="406">AH175+(AH$234-AH$174)/60</f>
        <v>13586.666666666668</v>
      </c>
      <c r="AI176" s="18">
        <f t="shared" si="406"/>
        <v>15066.666666666668</v>
      </c>
      <c r="AJ176" s="18">
        <f t="shared" si="406"/>
        <v>20650</v>
      </c>
      <c r="AK176" s="18">
        <f t="shared" si="406"/>
        <v>23200</v>
      </c>
      <c r="AL176" s="18">
        <f t="shared" si="403"/>
        <v>22000</v>
      </c>
      <c r="AM176" s="18">
        <f t="shared" si="403"/>
        <v>25000</v>
      </c>
      <c r="AN176" s="18">
        <f t="shared" si="403"/>
        <v>28600</v>
      </c>
      <c r="AO176" s="18">
        <f t="shared" si="403"/>
        <v>45000</v>
      </c>
      <c r="AP176" s="18">
        <f t="shared" si="403"/>
        <v>48000</v>
      </c>
      <c r="AQ176" s="18">
        <f t="shared" si="403"/>
        <v>54000</v>
      </c>
      <c r="AR176" s="18">
        <f t="shared" si="403"/>
        <v>147200</v>
      </c>
      <c r="AS176" s="18">
        <f t="shared" si="275"/>
        <v>27391.304347826088</v>
      </c>
      <c r="AT176" s="184" t="str">
        <f t="shared" si="280"/>
        <v/>
      </c>
      <c r="AU176" s="184" t="str">
        <f t="shared" si="281"/>
        <v/>
      </c>
      <c r="AV176" s="184" t="str">
        <f t="shared" si="282"/>
        <v/>
      </c>
      <c r="AW176" s="184" t="str">
        <f t="shared" si="283"/>
        <v/>
      </c>
      <c r="AX176" s="184" t="str">
        <f t="shared" si="284"/>
        <v/>
      </c>
      <c r="AY176" s="184" t="str">
        <f t="shared" si="285"/>
        <v/>
      </c>
      <c r="AZ176" s="184" t="str">
        <f t="shared" si="286"/>
        <v/>
      </c>
      <c r="BA176" s="184" t="str">
        <f t="shared" si="287"/>
        <v/>
      </c>
      <c r="BB176" s="184" t="str">
        <f t="shared" si="288"/>
        <v/>
      </c>
      <c r="BC176" s="184" t="str">
        <f t="shared" si="289"/>
        <v/>
      </c>
      <c r="BD176" s="184" t="str">
        <f t="shared" si="290"/>
        <v/>
      </c>
      <c r="BE176" s="184" t="str">
        <f t="shared" si="291"/>
        <v/>
      </c>
      <c r="BF176" s="184" t="str">
        <f t="shared" si="292"/>
        <v/>
      </c>
      <c r="BG176" s="184" t="str">
        <f t="shared" si="293"/>
        <v/>
      </c>
      <c r="BH176" s="184" t="str">
        <f t="shared" si="294"/>
        <v/>
      </c>
      <c r="BI176" s="184" t="str">
        <f t="shared" si="295"/>
        <v/>
      </c>
      <c r="BJ176" s="184" t="str">
        <f t="shared" si="296"/>
        <v/>
      </c>
      <c r="BK176" s="184" t="str">
        <f t="shared" si="297"/>
        <v/>
      </c>
      <c r="BL176" s="184" t="str">
        <f t="shared" si="298"/>
        <v/>
      </c>
      <c r="BM176" s="184" t="str">
        <f t="shared" si="299"/>
        <v/>
      </c>
      <c r="BN176" s="184" t="str">
        <f t="shared" si="300"/>
        <v/>
      </c>
      <c r="BO176" s="184" t="str">
        <f t="shared" si="301"/>
        <v/>
      </c>
      <c r="BP176" s="184" t="str">
        <f t="shared" si="302"/>
        <v/>
      </c>
      <c r="BQ176" s="184" t="str">
        <f t="shared" si="303"/>
        <v/>
      </c>
      <c r="BR176" s="184" t="str">
        <f t="shared" si="375"/>
        <v/>
      </c>
      <c r="BS176" s="184" t="str">
        <f t="shared" si="375"/>
        <v/>
      </c>
      <c r="BT176" s="184" t="str">
        <f t="shared" si="375"/>
        <v/>
      </c>
      <c r="BU176" s="184" t="str">
        <f t="shared" si="305"/>
        <v/>
      </c>
      <c r="BV176" s="184" t="str">
        <f t="shared" si="306"/>
        <v/>
      </c>
      <c r="BW176" s="184" t="str">
        <f t="shared" si="307"/>
        <v/>
      </c>
      <c r="BX176" s="184" t="str">
        <f t="shared" si="308"/>
        <v/>
      </c>
      <c r="BY176" s="184" t="str">
        <f t="shared" si="309"/>
        <v/>
      </c>
      <c r="BZ176" s="184" t="str">
        <f t="shared" si="310"/>
        <v/>
      </c>
      <c r="CA176" s="184" t="str">
        <f t="shared" si="311"/>
        <v/>
      </c>
      <c r="CB176" s="184" t="str">
        <f t="shared" si="312"/>
        <v/>
      </c>
      <c r="CC176" s="184" t="str">
        <f t="shared" si="313"/>
        <v/>
      </c>
      <c r="CD176" s="184" t="str">
        <f t="shared" si="314"/>
        <v/>
      </c>
      <c r="CE176" s="184" t="str">
        <f t="shared" si="315"/>
        <v/>
      </c>
      <c r="CF176" s="184" t="str">
        <f t="shared" si="316"/>
        <v/>
      </c>
      <c r="CG176" s="184" t="str">
        <f t="shared" si="317"/>
        <v/>
      </c>
      <c r="CH176" s="184" t="str">
        <f t="shared" si="318"/>
        <v/>
      </c>
      <c r="CI176" s="184" t="str">
        <f t="shared" si="319"/>
        <v/>
      </c>
      <c r="CJ176" s="184" t="str">
        <f t="shared" si="320"/>
        <v/>
      </c>
      <c r="CK176" s="184"/>
      <c r="CM176" s="184"/>
      <c r="CN176"/>
      <c r="CP176"/>
      <c r="CR176"/>
      <c r="CT176"/>
      <c r="CV176"/>
      <c r="CX176"/>
      <c r="CZ176"/>
      <c r="DB176"/>
      <c r="DD176"/>
      <c r="DF176"/>
      <c r="ED176" s="184"/>
      <c r="EF176" s="184"/>
      <c r="EH176" s="184"/>
      <c r="EJ176" s="184"/>
      <c r="EL176" s="184"/>
      <c r="EN176" s="184"/>
      <c r="EP176" s="184"/>
      <c r="ER176" s="184"/>
      <c r="ET176" s="184"/>
      <c r="EV176" s="184"/>
      <c r="EX176" s="184"/>
      <c r="EZ176" s="184"/>
      <c r="FB176" s="184"/>
    </row>
    <row r="177" spans="1:158">
      <c r="A177" s="184">
        <f t="shared" si="368"/>
        <v>18.5</v>
      </c>
      <c r="B177" s="18">
        <f t="shared" si="405"/>
        <v>6910</v>
      </c>
      <c r="C177" s="18">
        <f t="shared" si="401"/>
        <v>9229.9999999999982</v>
      </c>
      <c r="D177" s="18">
        <f t="shared" si="401"/>
        <v>12204.999999999998</v>
      </c>
      <c r="E177" s="18">
        <f t="shared" si="401"/>
        <v>13524.999999999998</v>
      </c>
      <c r="F177" s="18">
        <f t="shared" si="401"/>
        <v>6434.9999999999991</v>
      </c>
      <c r="G177" s="18">
        <f t="shared" si="401"/>
        <v>8565.0000000000018</v>
      </c>
      <c r="H177" s="18">
        <f t="shared" si="401"/>
        <v>12300</v>
      </c>
      <c r="I177" s="18">
        <f t="shared" si="401"/>
        <v>6815.0000000000009</v>
      </c>
      <c r="J177" s="18">
        <f t="shared" si="401"/>
        <v>9080.0000000000018</v>
      </c>
      <c r="K177" s="18">
        <f t="shared" si="401"/>
        <v>11634.999999999998</v>
      </c>
      <c r="L177" s="18">
        <f t="shared" si="401"/>
        <v>13809.999999999998</v>
      </c>
      <c r="M177" s="18">
        <f t="shared" si="401"/>
        <v>16580</v>
      </c>
      <c r="N177" s="18">
        <f t="shared" si="401"/>
        <v>10965</v>
      </c>
      <c r="O177" s="18">
        <f t="shared" si="401"/>
        <v>12304.999999999998</v>
      </c>
      <c r="P177" s="18">
        <f t="shared" si="401"/>
        <v>16625</v>
      </c>
      <c r="Q177" s="18">
        <f t="shared" si="401"/>
        <v>18539.999999999996</v>
      </c>
      <c r="R177" s="18">
        <f t="shared" si="401"/>
        <v>25215</v>
      </c>
      <c r="S177" s="18">
        <f t="shared" si="401"/>
        <v>15825.000000000002</v>
      </c>
      <c r="T177" s="18">
        <f t="shared" si="401"/>
        <v>18492.500000000004</v>
      </c>
      <c r="U177" s="18">
        <f t="shared" si="401"/>
        <v>21698.82</v>
      </c>
      <c r="V177" s="18">
        <f t="shared" si="401"/>
        <v>25945.200000000004</v>
      </c>
      <c r="W177" s="18">
        <f t="shared" si="401"/>
        <v>32575.639999999996</v>
      </c>
      <c r="X177" s="18">
        <f t="shared" si="401"/>
        <v>33531.299999999996</v>
      </c>
      <c r="Y177" s="18">
        <f t="shared" si="401"/>
        <v>43550.000000000007</v>
      </c>
      <c r="Z177" s="18">
        <f t="shared" si="402"/>
        <v>30927.999999999996</v>
      </c>
      <c r="AA177" s="18">
        <f t="shared" si="402"/>
        <v>39535.999999999993</v>
      </c>
      <c r="AB177" s="18">
        <f t="shared" si="402"/>
        <v>49698</v>
      </c>
      <c r="AC177" s="18">
        <f t="shared" si="403"/>
        <v>10865</v>
      </c>
      <c r="AD177" s="18">
        <f t="shared" si="403"/>
        <v>12489.999999999998</v>
      </c>
      <c r="AE177" s="18">
        <f t="shared" si="403"/>
        <v>13970.000000000002</v>
      </c>
      <c r="AF177" s="18">
        <f t="shared" si="403"/>
        <v>18300</v>
      </c>
      <c r="AG177" s="18">
        <f t="shared" si="403"/>
        <v>20785.000000000004</v>
      </c>
      <c r="AH177" s="18">
        <f t="shared" ref="AH177:AK177" si="407">AH176+(AH$234-AH$174)/60</f>
        <v>13680.000000000002</v>
      </c>
      <c r="AI177" s="18">
        <f t="shared" si="407"/>
        <v>15200.000000000002</v>
      </c>
      <c r="AJ177" s="18">
        <f t="shared" si="407"/>
        <v>20725</v>
      </c>
      <c r="AK177" s="18">
        <f t="shared" si="407"/>
        <v>23300</v>
      </c>
      <c r="AL177" s="18">
        <f t="shared" si="403"/>
        <v>22000</v>
      </c>
      <c r="AM177" s="18">
        <f t="shared" si="403"/>
        <v>25000</v>
      </c>
      <c r="AN177" s="18">
        <f t="shared" si="403"/>
        <v>28600</v>
      </c>
      <c r="AO177" s="18">
        <f t="shared" si="403"/>
        <v>45000</v>
      </c>
      <c r="AP177" s="18">
        <f t="shared" si="403"/>
        <v>48000</v>
      </c>
      <c r="AQ177" s="18">
        <f t="shared" si="403"/>
        <v>54000</v>
      </c>
      <c r="AR177" s="18">
        <f t="shared" si="403"/>
        <v>147200</v>
      </c>
      <c r="AS177" s="18">
        <f t="shared" si="275"/>
        <v>27065.217391304348</v>
      </c>
      <c r="AT177" s="184" t="str">
        <f t="shared" si="280"/>
        <v/>
      </c>
      <c r="AU177" s="184" t="str">
        <f t="shared" si="281"/>
        <v/>
      </c>
      <c r="AV177" s="184" t="str">
        <f t="shared" si="282"/>
        <v/>
      </c>
      <c r="AW177" s="184" t="str">
        <f t="shared" si="283"/>
        <v/>
      </c>
      <c r="AX177" s="184" t="str">
        <f t="shared" si="284"/>
        <v/>
      </c>
      <c r="AY177" s="184" t="str">
        <f t="shared" si="285"/>
        <v/>
      </c>
      <c r="AZ177" s="184" t="str">
        <f t="shared" si="286"/>
        <v/>
      </c>
      <c r="BA177" s="184" t="str">
        <f t="shared" si="287"/>
        <v/>
      </c>
      <c r="BB177" s="184" t="str">
        <f t="shared" si="288"/>
        <v/>
      </c>
      <c r="BC177" s="184" t="str">
        <f t="shared" si="289"/>
        <v/>
      </c>
      <c r="BD177" s="184" t="str">
        <f t="shared" si="290"/>
        <v/>
      </c>
      <c r="BE177" s="184" t="str">
        <f t="shared" si="291"/>
        <v/>
      </c>
      <c r="BF177" s="184" t="str">
        <f t="shared" si="292"/>
        <v/>
      </c>
      <c r="BG177" s="184" t="str">
        <f t="shared" si="293"/>
        <v/>
      </c>
      <c r="BH177" s="184" t="str">
        <f t="shared" si="294"/>
        <v/>
      </c>
      <c r="BI177" s="184" t="str">
        <f t="shared" si="295"/>
        <v/>
      </c>
      <c r="BJ177" s="184" t="str">
        <f t="shared" si="296"/>
        <v/>
      </c>
      <c r="BK177" s="184" t="str">
        <f t="shared" si="297"/>
        <v/>
      </c>
      <c r="BL177" s="184" t="str">
        <f t="shared" si="298"/>
        <v/>
      </c>
      <c r="BM177" s="184" t="str">
        <f t="shared" si="299"/>
        <v/>
      </c>
      <c r="BN177" s="184" t="str">
        <f t="shared" si="300"/>
        <v/>
      </c>
      <c r="BO177" s="184" t="str">
        <f t="shared" si="301"/>
        <v/>
      </c>
      <c r="BP177" s="184" t="str">
        <f t="shared" si="302"/>
        <v/>
      </c>
      <c r="BQ177" s="184" t="str">
        <f t="shared" si="303"/>
        <v/>
      </c>
      <c r="BR177" s="184" t="str">
        <f t="shared" si="375"/>
        <v/>
      </c>
      <c r="BS177" s="184" t="str">
        <f t="shared" si="375"/>
        <v/>
      </c>
      <c r="BT177" s="184" t="str">
        <f t="shared" si="375"/>
        <v/>
      </c>
      <c r="BU177" s="184" t="str">
        <f t="shared" si="305"/>
        <v/>
      </c>
      <c r="BV177" s="184" t="str">
        <f t="shared" si="306"/>
        <v/>
      </c>
      <c r="BW177" s="184" t="str">
        <f t="shared" si="307"/>
        <v/>
      </c>
      <c r="BX177" s="184" t="str">
        <f t="shared" si="308"/>
        <v/>
      </c>
      <c r="BY177" s="184" t="str">
        <f t="shared" si="309"/>
        <v/>
      </c>
      <c r="BZ177" s="184" t="str">
        <f t="shared" si="310"/>
        <v/>
      </c>
      <c r="CA177" s="184" t="str">
        <f t="shared" si="311"/>
        <v/>
      </c>
      <c r="CB177" s="184" t="str">
        <f t="shared" si="312"/>
        <v/>
      </c>
      <c r="CC177" s="184" t="str">
        <f t="shared" si="313"/>
        <v/>
      </c>
      <c r="CD177" s="184" t="str">
        <f t="shared" si="314"/>
        <v/>
      </c>
      <c r="CE177" s="184" t="str">
        <f t="shared" si="315"/>
        <v/>
      </c>
      <c r="CF177" s="184" t="str">
        <f t="shared" si="316"/>
        <v/>
      </c>
      <c r="CG177" s="184" t="str">
        <f t="shared" si="317"/>
        <v/>
      </c>
      <c r="CH177" s="184" t="str">
        <f t="shared" si="318"/>
        <v/>
      </c>
      <c r="CI177" s="184" t="str">
        <f t="shared" si="319"/>
        <v/>
      </c>
      <c r="CJ177" s="184" t="str">
        <f t="shared" si="320"/>
        <v/>
      </c>
      <c r="CK177" s="184"/>
      <c r="CM177" s="184"/>
      <c r="CN177"/>
      <c r="CP177"/>
      <c r="CR177"/>
      <c r="CT177"/>
      <c r="CV177"/>
      <c r="CX177"/>
      <c r="CZ177"/>
      <c r="DB177"/>
      <c r="DD177"/>
      <c r="DF177"/>
      <c r="ED177" s="184"/>
      <c r="EF177" s="184"/>
      <c r="EH177" s="184"/>
      <c r="EJ177" s="184"/>
      <c r="EL177" s="184"/>
      <c r="EN177" s="184"/>
      <c r="EP177" s="184"/>
      <c r="ER177" s="184"/>
      <c r="ET177" s="184"/>
      <c r="EV177" s="184"/>
      <c r="EX177" s="184"/>
      <c r="EZ177" s="184"/>
      <c r="FB177" s="184"/>
    </row>
    <row r="178" spans="1:158">
      <c r="A178" s="184">
        <f t="shared" si="368"/>
        <v>19</v>
      </c>
      <c r="B178" s="18">
        <f t="shared" si="405"/>
        <v>6980</v>
      </c>
      <c r="C178" s="18">
        <f t="shared" si="401"/>
        <v>9306.6666666666642</v>
      </c>
      <c r="D178" s="18">
        <f t="shared" si="401"/>
        <v>12306.666666666664</v>
      </c>
      <c r="E178" s="18">
        <f t="shared" si="401"/>
        <v>13666.666666666664</v>
      </c>
      <c r="F178" s="18">
        <f t="shared" si="401"/>
        <v>6513.3333333333321</v>
      </c>
      <c r="G178" s="18">
        <f t="shared" si="401"/>
        <v>8653.3333333333358</v>
      </c>
      <c r="H178" s="18">
        <f t="shared" si="401"/>
        <v>12400</v>
      </c>
      <c r="I178" s="18">
        <f t="shared" si="401"/>
        <v>6886.6666666666679</v>
      </c>
      <c r="J178" s="18">
        <f t="shared" si="401"/>
        <v>9173.3333333333358</v>
      </c>
      <c r="K178" s="18">
        <f t="shared" si="401"/>
        <v>11746.666666666664</v>
      </c>
      <c r="L178" s="18">
        <f t="shared" si="401"/>
        <v>13946.666666666664</v>
      </c>
      <c r="M178" s="18">
        <f t="shared" si="401"/>
        <v>16773.333333333332</v>
      </c>
      <c r="N178" s="18">
        <f t="shared" si="401"/>
        <v>11020</v>
      </c>
      <c r="O178" s="18">
        <f t="shared" si="401"/>
        <v>12406.666666666664</v>
      </c>
      <c r="P178" s="18">
        <f t="shared" si="401"/>
        <v>16700</v>
      </c>
      <c r="Q178" s="18">
        <f t="shared" si="401"/>
        <v>18653.333333333328</v>
      </c>
      <c r="R178" s="18">
        <f t="shared" si="401"/>
        <v>25420</v>
      </c>
      <c r="S178" s="18">
        <f t="shared" si="401"/>
        <v>15933.333333333336</v>
      </c>
      <c r="T178" s="18">
        <f t="shared" si="401"/>
        <v>18606.666666666672</v>
      </c>
      <c r="U178" s="18">
        <f t="shared" si="401"/>
        <v>21819.893333333333</v>
      </c>
      <c r="V178" s="18">
        <f t="shared" si="401"/>
        <v>26121.600000000006</v>
      </c>
      <c r="W178" s="18">
        <f t="shared" si="401"/>
        <v>32797.119999999995</v>
      </c>
      <c r="X178" s="18">
        <f t="shared" si="401"/>
        <v>33890.399999999994</v>
      </c>
      <c r="Y178" s="18">
        <f t="shared" si="401"/>
        <v>43733.333333333343</v>
      </c>
      <c r="Z178" s="18">
        <f t="shared" si="402"/>
        <v>31157.333333333328</v>
      </c>
      <c r="AA178" s="18">
        <f t="shared" si="402"/>
        <v>39754.666666666657</v>
      </c>
      <c r="AB178" s="18">
        <f t="shared" si="402"/>
        <v>49984</v>
      </c>
      <c r="AC178" s="18">
        <f t="shared" si="403"/>
        <v>10920</v>
      </c>
      <c r="AD178" s="18">
        <f t="shared" si="403"/>
        <v>12586.666666666664</v>
      </c>
      <c r="AE178" s="18">
        <f t="shared" si="403"/>
        <v>14093.333333333336</v>
      </c>
      <c r="AF178" s="18">
        <f t="shared" si="403"/>
        <v>18400</v>
      </c>
      <c r="AG178" s="18">
        <f t="shared" si="403"/>
        <v>20946.666666666672</v>
      </c>
      <c r="AH178" s="18">
        <f t="shared" ref="AH178:AK178" si="408">AH177+(AH$234-AH$174)/60</f>
        <v>13773.333333333336</v>
      </c>
      <c r="AI178" s="18">
        <f t="shared" si="408"/>
        <v>15333.333333333336</v>
      </c>
      <c r="AJ178" s="18">
        <f t="shared" si="408"/>
        <v>20800</v>
      </c>
      <c r="AK178" s="18">
        <f t="shared" si="408"/>
        <v>23400</v>
      </c>
      <c r="AL178" s="18">
        <f t="shared" si="403"/>
        <v>22000</v>
      </c>
      <c r="AM178" s="18">
        <f t="shared" si="403"/>
        <v>25000</v>
      </c>
      <c r="AN178" s="18">
        <f t="shared" si="403"/>
        <v>28600</v>
      </c>
      <c r="AO178" s="18">
        <f t="shared" si="403"/>
        <v>45000</v>
      </c>
      <c r="AP178" s="18">
        <f t="shared" si="403"/>
        <v>48000</v>
      </c>
      <c r="AQ178" s="18">
        <f t="shared" si="403"/>
        <v>54000</v>
      </c>
      <c r="AR178" s="18">
        <f t="shared" si="403"/>
        <v>147200</v>
      </c>
      <c r="AS178" s="18">
        <f t="shared" si="275"/>
        <v>26739.130434782608</v>
      </c>
      <c r="AT178" s="184" t="str">
        <f t="shared" si="280"/>
        <v/>
      </c>
      <c r="AU178" s="184" t="str">
        <f t="shared" si="281"/>
        <v/>
      </c>
      <c r="AV178" s="184" t="str">
        <f t="shared" si="282"/>
        <v/>
      </c>
      <c r="AW178" s="184" t="str">
        <f t="shared" si="283"/>
        <v/>
      </c>
      <c r="AX178" s="184" t="str">
        <f t="shared" si="284"/>
        <v/>
      </c>
      <c r="AY178" s="184" t="str">
        <f t="shared" si="285"/>
        <v/>
      </c>
      <c r="AZ178" s="184" t="str">
        <f t="shared" si="286"/>
        <v/>
      </c>
      <c r="BA178" s="184" t="str">
        <f t="shared" si="287"/>
        <v/>
      </c>
      <c r="BB178" s="184" t="str">
        <f t="shared" si="288"/>
        <v/>
      </c>
      <c r="BC178" s="184" t="str">
        <f t="shared" si="289"/>
        <v/>
      </c>
      <c r="BD178" s="184" t="str">
        <f t="shared" si="290"/>
        <v/>
      </c>
      <c r="BE178" s="184" t="str">
        <f t="shared" si="291"/>
        <v/>
      </c>
      <c r="BF178" s="184" t="str">
        <f t="shared" si="292"/>
        <v/>
      </c>
      <c r="BG178" s="184" t="str">
        <f t="shared" si="293"/>
        <v/>
      </c>
      <c r="BH178" s="184" t="str">
        <f t="shared" si="294"/>
        <v/>
      </c>
      <c r="BI178" s="184" t="str">
        <f t="shared" si="295"/>
        <v/>
      </c>
      <c r="BJ178" s="184" t="str">
        <f t="shared" si="296"/>
        <v/>
      </c>
      <c r="BK178" s="184" t="str">
        <f t="shared" si="297"/>
        <v/>
      </c>
      <c r="BL178" s="184" t="str">
        <f t="shared" si="298"/>
        <v/>
      </c>
      <c r="BM178" s="184" t="str">
        <f t="shared" si="299"/>
        <v/>
      </c>
      <c r="BN178" s="184" t="str">
        <f t="shared" si="300"/>
        <v/>
      </c>
      <c r="BO178" s="184" t="str">
        <f t="shared" si="301"/>
        <v/>
      </c>
      <c r="BP178" s="184" t="str">
        <f t="shared" si="302"/>
        <v/>
      </c>
      <c r="BQ178" s="184" t="str">
        <f t="shared" si="303"/>
        <v/>
      </c>
      <c r="BR178" s="184" t="str">
        <f t="shared" si="375"/>
        <v/>
      </c>
      <c r="BS178" s="184" t="str">
        <f t="shared" si="375"/>
        <v/>
      </c>
      <c r="BT178" s="184" t="str">
        <f t="shared" si="375"/>
        <v/>
      </c>
      <c r="BU178" s="184" t="str">
        <f t="shared" si="305"/>
        <v/>
      </c>
      <c r="BV178" s="184" t="str">
        <f t="shared" si="306"/>
        <v/>
      </c>
      <c r="BW178" s="184" t="str">
        <f t="shared" si="307"/>
        <v/>
      </c>
      <c r="BX178" s="184" t="str">
        <f t="shared" si="308"/>
        <v/>
      </c>
      <c r="BY178" s="184" t="str">
        <f t="shared" si="309"/>
        <v/>
      </c>
      <c r="BZ178" s="184" t="str">
        <f t="shared" si="310"/>
        <v/>
      </c>
      <c r="CA178" s="184" t="str">
        <f t="shared" si="311"/>
        <v/>
      </c>
      <c r="CB178" s="184" t="str">
        <f t="shared" si="312"/>
        <v/>
      </c>
      <c r="CC178" s="184" t="str">
        <f t="shared" si="313"/>
        <v/>
      </c>
      <c r="CD178" s="184" t="str">
        <f t="shared" si="314"/>
        <v/>
      </c>
      <c r="CE178" s="184" t="str">
        <f t="shared" si="315"/>
        <v/>
      </c>
      <c r="CF178" s="184" t="str">
        <f t="shared" si="316"/>
        <v/>
      </c>
      <c r="CG178" s="184" t="str">
        <f t="shared" si="317"/>
        <v/>
      </c>
      <c r="CH178" s="184" t="str">
        <f t="shared" si="318"/>
        <v/>
      </c>
      <c r="CI178" s="184" t="str">
        <f t="shared" si="319"/>
        <v/>
      </c>
      <c r="CJ178" s="184" t="str">
        <f t="shared" si="320"/>
        <v/>
      </c>
      <c r="CK178" s="184"/>
      <c r="CM178" s="184"/>
      <c r="CN178"/>
      <c r="CP178"/>
      <c r="CR178"/>
      <c r="CT178"/>
      <c r="CV178"/>
      <c r="CX178"/>
      <c r="CZ178"/>
      <c r="DB178"/>
      <c r="DD178"/>
      <c r="DF178"/>
      <c r="ED178" s="184"/>
      <c r="EF178" s="184"/>
      <c r="EH178" s="184"/>
      <c r="EJ178" s="184"/>
      <c r="EL178" s="184"/>
      <c r="EN178" s="184"/>
      <c r="EP178" s="184"/>
      <c r="ER178" s="184"/>
      <c r="ET178" s="184"/>
      <c r="EV178" s="184"/>
      <c r="EX178" s="184"/>
      <c r="EZ178" s="184"/>
      <c r="FB178" s="184"/>
    </row>
    <row r="179" spans="1:158">
      <c r="A179" s="184">
        <f t="shared" si="368"/>
        <v>19.5</v>
      </c>
      <c r="B179" s="18">
        <f t="shared" si="405"/>
        <v>7050</v>
      </c>
      <c r="C179" s="18">
        <f t="shared" si="401"/>
        <v>9383.3333333333303</v>
      </c>
      <c r="D179" s="18">
        <f t="shared" si="401"/>
        <v>12408.33333333333</v>
      </c>
      <c r="E179" s="18">
        <f t="shared" si="401"/>
        <v>13808.33333333333</v>
      </c>
      <c r="F179" s="18">
        <f t="shared" si="401"/>
        <v>6591.6666666666652</v>
      </c>
      <c r="G179" s="18">
        <f t="shared" si="401"/>
        <v>8741.6666666666697</v>
      </c>
      <c r="H179" s="18">
        <f t="shared" si="401"/>
        <v>12500</v>
      </c>
      <c r="I179" s="18">
        <f t="shared" si="401"/>
        <v>6958.3333333333348</v>
      </c>
      <c r="J179" s="18">
        <f t="shared" si="401"/>
        <v>9266.6666666666697</v>
      </c>
      <c r="K179" s="18">
        <f t="shared" si="401"/>
        <v>11858.33333333333</v>
      </c>
      <c r="L179" s="18">
        <f t="shared" si="401"/>
        <v>14083.33333333333</v>
      </c>
      <c r="M179" s="18">
        <f t="shared" si="401"/>
        <v>16966.666666666664</v>
      </c>
      <c r="N179" s="18">
        <f t="shared" si="401"/>
        <v>11075</v>
      </c>
      <c r="O179" s="18">
        <f t="shared" si="401"/>
        <v>12508.33333333333</v>
      </c>
      <c r="P179" s="18">
        <f t="shared" si="401"/>
        <v>16775</v>
      </c>
      <c r="Q179" s="18">
        <f t="shared" si="401"/>
        <v>18766.666666666661</v>
      </c>
      <c r="R179" s="18">
        <f t="shared" si="401"/>
        <v>25625</v>
      </c>
      <c r="S179" s="18">
        <f t="shared" si="401"/>
        <v>16041.66666666667</v>
      </c>
      <c r="T179" s="18">
        <f t="shared" si="401"/>
        <v>18720.833333333339</v>
      </c>
      <c r="U179" s="18">
        <f t="shared" si="401"/>
        <v>21940.966666666667</v>
      </c>
      <c r="V179" s="18">
        <f t="shared" si="401"/>
        <v>26298.000000000007</v>
      </c>
      <c r="W179" s="18">
        <f t="shared" si="401"/>
        <v>33018.6</v>
      </c>
      <c r="X179" s="18">
        <f t="shared" si="401"/>
        <v>34249.499999999993</v>
      </c>
      <c r="Y179" s="18">
        <f t="shared" si="401"/>
        <v>43916.666666666679</v>
      </c>
      <c r="Z179" s="18">
        <f t="shared" si="402"/>
        <v>31386.666666666661</v>
      </c>
      <c r="AA179" s="18">
        <f t="shared" si="402"/>
        <v>39973.333333333321</v>
      </c>
      <c r="AB179" s="18">
        <f t="shared" si="402"/>
        <v>50270</v>
      </c>
      <c r="AC179" s="18">
        <f t="shared" si="403"/>
        <v>10975</v>
      </c>
      <c r="AD179" s="18">
        <f t="shared" si="403"/>
        <v>12683.33333333333</v>
      </c>
      <c r="AE179" s="18">
        <f t="shared" si="403"/>
        <v>14216.66666666667</v>
      </c>
      <c r="AF179" s="18">
        <f t="shared" si="403"/>
        <v>18500</v>
      </c>
      <c r="AG179" s="18">
        <f t="shared" si="403"/>
        <v>21108.333333333339</v>
      </c>
      <c r="AH179" s="18">
        <f t="shared" ref="AH179:AK179" si="409">AH178+(AH$234-AH$174)/60</f>
        <v>13866.66666666667</v>
      </c>
      <c r="AI179" s="18">
        <f t="shared" si="409"/>
        <v>15466.66666666667</v>
      </c>
      <c r="AJ179" s="18">
        <f t="shared" si="409"/>
        <v>20875</v>
      </c>
      <c r="AK179" s="18">
        <f t="shared" si="409"/>
        <v>23500</v>
      </c>
      <c r="AL179" s="18">
        <f t="shared" si="403"/>
        <v>22000</v>
      </c>
      <c r="AM179" s="18">
        <f t="shared" si="403"/>
        <v>25000</v>
      </c>
      <c r="AN179" s="18">
        <f t="shared" si="403"/>
        <v>28600</v>
      </c>
      <c r="AO179" s="18">
        <f t="shared" si="403"/>
        <v>45000</v>
      </c>
      <c r="AP179" s="18">
        <f t="shared" si="403"/>
        <v>48000</v>
      </c>
      <c r="AQ179" s="18">
        <f t="shared" si="403"/>
        <v>54000</v>
      </c>
      <c r="AR179" s="18">
        <f t="shared" si="403"/>
        <v>147200</v>
      </c>
      <c r="AS179" s="18">
        <f t="shared" si="275"/>
        <v>26413.043478260872</v>
      </c>
      <c r="AT179" s="184" t="str">
        <f t="shared" si="280"/>
        <v/>
      </c>
      <c r="AU179" s="184" t="str">
        <f t="shared" si="281"/>
        <v/>
      </c>
      <c r="AV179" s="184" t="str">
        <f t="shared" si="282"/>
        <v/>
      </c>
      <c r="AW179" s="184" t="str">
        <f t="shared" si="283"/>
        <v/>
      </c>
      <c r="AX179" s="184" t="str">
        <f t="shared" si="284"/>
        <v/>
      </c>
      <c r="AY179" s="184" t="str">
        <f t="shared" si="285"/>
        <v/>
      </c>
      <c r="AZ179" s="184" t="str">
        <f t="shared" si="286"/>
        <v/>
      </c>
      <c r="BA179" s="184" t="str">
        <f t="shared" si="287"/>
        <v/>
      </c>
      <c r="BB179" s="184" t="str">
        <f t="shared" si="288"/>
        <v/>
      </c>
      <c r="BC179" s="184" t="str">
        <f t="shared" si="289"/>
        <v/>
      </c>
      <c r="BD179" s="184" t="str">
        <f t="shared" si="290"/>
        <v/>
      </c>
      <c r="BE179" s="184" t="str">
        <f t="shared" si="291"/>
        <v/>
      </c>
      <c r="BF179" s="184" t="str">
        <f t="shared" si="292"/>
        <v/>
      </c>
      <c r="BG179" s="184" t="str">
        <f t="shared" si="293"/>
        <v/>
      </c>
      <c r="BH179" s="184" t="str">
        <f t="shared" si="294"/>
        <v/>
      </c>
      <c r="BI179" s="184" t="str">
        <f t="shared" si="295"/>
        <v/>
      </c>
      <c r="BJ179" s="184" t="str">
        <f t="shared" si="296"/>
        <v/>
      </c>
      <c r="BK179" s="184" t="str">
        <f t="shared" si="297"/>
        <v/>
      </c>
      <c r="BL179" s="184" t="str">
        <f t="shared" si="298"/>
        <v/>
      </c>
      <c r="BM179" s="184" t="str">
        <f t="shared" si="299"/>
        <v/>
      </c>
      <c r="BN179" s="184" t="str">
        <f t="shared" si="300"/>
        <v/>
      </c>
      <c r="BO179" s="184" t="str">
        <f t="shared" si="301"/>
        <v/>
      </c>
      <c r="BP179" s="184" t="str">
        <f t="shared" si="302"/>
        <v/>
      </c>
      <c r="BQ179" s="184" t="str">
        <f t="shared" si="303"/>
        <v/>
      </c>
      <c r="BR179" s="184" t="str">
        <f t="shared" si="375"/>
        <v/>
      </c>
      <c r="BS179" s="184" t="str">
        <f t="shared" si="375"/>
        <v/>
      </c>
      <c r="BT179" s="184" t="str">
        <f t="shared" si="375"/>
        <v/>
      </c>
      <c r="BU179" s="184" t="str">
        <f t="shared" si="305"/>
        <v/>
      </c>
      <c r="BV179" s="184" t="str">
        <f t="shared" si="306"/>
        <v/>
      </c>
      <c r="BW179" s="184" t="str">
        <f t="shared" si="307"/>
        <v/>
      </c>
      <c r="BX179" s="184" t="str">
        <f t="shared" si="308"/>
        <v/>
      </c>
      <c r="BY179" s="184" t="str">
        <f t="shared" si="309"/>
        <v/>
      </c>
      <c r="BZ179" s="184" t="str">
        <f t="shared" si="310"/>
        <v/>
      </c>
      <c r="CA179" s="184" t="str">
        <f t="shared" si="311"/>
        <v/>
      </c>
      <c r="CB179" s="184" t="str">
        <f t="shared" si="312"/>
        <v/>
      </c>
      <c r="CC179" s="184" t="str">
        <f t="shared" si="313"/>
        <v/>
      </c>
      <c r="CD179" s="184" t="str">
        <f t="shared" si="314"/>
        <v/>
      </c>
      <c r="CE179" s="184" t="str">
        <f t="shared" si="315"/>
        <v/>
      </c>
      <c r="CF179" s="184" t="str">
        <f t="shared" si="316"/>
        <v/>
      </c>
      <c r="CG179" s="184" t="str">
        <f t="shared" si="317"/>
        <v/>
      </c>
      <c r="CH179" s="184" t="str">
        <f t="shared" si="318"/>
        <v/>
      </c>
      <c r="CI179" s="184" t="str">
        <f t="shared" si="319"/>
        <v/>
      </c>
      <c r="CJ179" s="184" t="str">
        <f t="shared" si="320"/>
        <v/>
      </c>
      <c r="CK179" s="184"/>
      <c r="CM179" s="184"/>
      <c r="CN179"/>
      <c r="CP179"/>
      <c r="CR179"/>
      <c r="CT179"/>
      <c r="CV179"/>
      <c r="CX179"/>
      <c r="CZ179"/>
      <c r="DB179"/>
      <c r="DD179"/>
      <c r="DF179"/>
      <c r="ED179" s="184"/>
      <c r="EF179" s="184"/>
      <c r="EH179" s="184"/>
      <c r="EJ179" s="184"/>
      <c r="EL179" s="184"/>
      <c r="EN179" s="184"/>
      <c r="EP179" s="184"/>
      <c r="ER179" s="184"/>
      <c r="ET179" s="184"/>
      <c r="EV179" s="184"/>
      <c r="EX179" s="184"/>
      <c r="EZ179" s="184"/>
      <c r="FB179" s="184"/>
    </row>
    <row r="180" spans="1:158">
      <c r="A180" s="184">
        <f t="shared" si="368"/>
        <v>20</v>
      </c>
      <c r="B180" s="18">
        <f t="shared" si="405"/>
        <v>7120</v>
      </c>
      <c r="C180" s="18">
        <f t="shared" si="401"/>
        <v>9459.9999999999964</v>
      </c>
      <c r="D180" s="18">
        <f t="shared" si="401"/>
        <v>12509.999999999996</v>
      </c>
      <c r="E180" s="18">
        <f t="shared" si="401"/>
        <v>13949.999999999996</v>
      </c>
      <c r="F180" s="18">
        <f t="shared" si="401"/>
        <v>6669.9999999999982</v>
      </c>
      <c r="G180" s="18">
        <f t="shared" si="401"/>
        <v>8830.0000000000036</v>
      </c>
      <c r="H180" s="18">
        <f t="shared" si="401"/>
        <v>12600</v>
      </c>
      <c r="I180" s="18">
        <f t="shared" si="401"/>
        <v>7030.0000000000018</v>
      </c>
      <c r="J180" s="18">
        <f t="shared" si="401"/>
        <v>9360.0000000000036</v>
      </c>
      <c r="K180" s="18">
        <f t="shared" si="401"/>
        <v>11969.999999999996</v>
      </c>
      <c r="L180" s="18">
        <f t="shared" si="401"/>
        <v>14219.999999999996</v>
      </c>
      <c r="M180" s="18">
        <f t="shared" si="401"/>
        <v>17159.999999999996</v>
      </c>
      <c r="N180" s="18">
        <f t="shared" si="401"/>
        <v>11130</v>
      </c>
      <c r="O180" s="18">
        <f t="shared" si="401"/>
        <v>12609.999999999996</v>
      </c>
      <c r="P180" s="18">
        <f t="shared" si="401"/>
        <v>16850</v>
      </c>
      <c r="Q180" s="18">
        <f t="shared" si="401"/>
        <v>18879.999999999993</v>
      </c>
      <c r="R180" s="18">
        <f t="shared" si="401"/>
        <v>25830</v>
      </c>
      <c r="S180" s="18">
        <f t="shared" si="401"/>
        <v>16150.000000000004</v>
      </c>
      <c r="T180" s="18">
        <f t="shared" si="401"/>
        <v>18835.000000000007</v>
      </c>
      <c r="U180" s="18">
        <f t="shared" si="401"/>
        <v>22062.04</v>
      </c>
      <c r="V180" s="18">
        <f t="shared" si="401"/>
        <v>26474.400000000009</v>
      </c>
      <c r="W180" s="18">
        <f t="shared" si="401"/>
        <v>33240.080000000002</v>
      </c>
      <c r="X180" s="18">
        <f t="shared" si="401"/>
        <v>34608.599999999991</v>
      </c>
      <c r="Y180" s="18">
        <f t="shared" si="401"/>
        <v>44100.000000000015</v>
      </c>
      <c r="Z180" s="18">
        <f t="shared" si="402"/>
        <v>31615.999999999993</v>
      </c>
      <c r="AA180" s="18">
        <f t="shared" si="402"/>
        <v>40191.999999999985</v>
      </c>
      <c r="AB180" s="18">
        <f t="shared" si="402"/>
        <v>50556</v>
      </c>
      <c r="AC180" s="18">
        <f t="shared" si="403"/>
        <v>11030</v>
      </c>
      <c r="AD180" s="18">
        <f t="shared" si="403"/>
        <v>12779.999999999996</v>
      </c>
      <c r="AE180" s="18">
        <f t="shared" si="403"/>
        <v>14340.000000000004</v>
      </c>
      <c r="AF180" s="18">
        <f t="shared" si="403"/>
        <v>18600</v>
      </c>
      <c r="AG180" s="18">
        <f t="shared" si="403"/>
        <v>21270.000000000007</v>
      </c>
      <c r="AH180" s="18">
        <f t="shared" ref="AH180:AK180" si="410">AH179+(AH$234-AH$174)/60</f>
        <v>13960.000000000004</v>
      </c>
      <c r="AI180" s="18">
        <f t="shared" si="410"/>
        <v>15600.000000000004</v>
      </c>
      <c r="AJ180" s="18">
        <f t="shared" si="410"/>
        <v>20950</v>
      </c>
      <c r="AK180" s="18">
        <f t="shared" si="410"/>
        <v>23600</v>
      </c>
      <c r="AL180" s="18">
        <f t="shared" si="403"/>
        <v>22000</v>
      </c>
      <c r="AM180" s="18">
        <f t="shared" si="403"/>
        <v>25000</v>
      </c>
      <c r="AN180" s="18">
        <f t="shared" si="403"/>
        <v>28600</v>
      </c>
      <c r="AO180" s="18">
        <f t="shared" si="403"/>
        <v>45000</v>
      </c>
      <c r="AP180" s="18">
        <f t="shared" si="403"/>
        <v>48000</v>
      </c>
      <c r="AQ180" s="18">
        <f t="shared" si="403"/>
        <v>54000</v>
      </c>
      <c r="AR180" s="18">
        <f t="shared" si="403"/>
        <v>147200</v>
      </c>
      <c r="AS180" s="18">
        <f t="shared" si="275"/>
        <v>26086.956521739132</v>
      </c>
      <c r="AT180" s="184" t="str">
        <f t="shared" si="280"/>
        <v/>
      </c>
      <c r="AU180" s="184" t="str">
        <f t="shared" si="281"/>
        <v/>
      </c>
      <c r="AV180" s="184" t="str">
        <f t="shared" si="282"/>
        <v/>
      </c>
      <c r="AW180" s="184" t="str">
        <f t="shared" si="283"/>
        <v/>
      </c>
      <c r="AX180" s="184" t="str">
        <f t="shared" si="284"/>
        <v/>
      </c>
      <c r="AY180" s="184" t="str">
        <f t="shared" si="285"/>
        <v/>
      </c>
      <c r="AZ180" s="184" t="str">
        <f t="shared" si="286"/>
        <v/>
      </c>
      <c r="BA180" s="184" t="str">
        <f t="shared" si="287"/>
        <v/>
      </c>
      <c r="BB180" s="184" t="str">
        <f t="shared" si="288"/>
        <v/>
      </c>
      <c r="BC180" s="184" t="str">
        <f t="shared" si="289"/>
        <v/>
      </c>
      <c r="BD180" s="184" t="str">
        <f t="shared" si="290"/>
        <v/>
      </c>
      <c r="BE180" s="184" t="str">
        <f t="shared" si="291"/>
        <v/>
      </c>
      <c r="BF180" s="184" t="str">
        <f t="shared" si="292"/>
        <v/>
      </c>
      <c r="BG180" s="184" t="str">
        <f t="shared" si="293"/>
        <v/>
      </c>
      <c r="BH180" s="184" t="str">
        <f t="shared" si="294"/>
        <v/>
      </c>
      <c r="BI180" s="184" t="str">
        <f t="shared" si="295"/>
        <v/>
      </c>
      <c r="BJ180" s="184" t="str">
        <f t="shared" si="296"/>
        <v/>
      </c>
      <c r="BK180" s="184" t="str">
        <f t="shared" si="297"/>
        <v/>
      </c>
      <c r="BL180" s="184" t="str">
        <f t="shared" si="298"/>
        <v/>
      </c>
      <c r="BM180" s="184" t="str">
        <f t="shared" si="299"/>
        <v/>
      </c>
      <c r="BN180" s="184">
        <f t="shared" si="300"/>
        <v>1</v>
      </c>
      <c r="BO180" s="184" t="str">
        <f t="shared" si="301"/>
        <v/>
      </c>
      <c r="BP180" s="184" t="str">
        <f t="shared" si="302"/>
        <v/>
      </c>
      <c r="BQ180" s="184" t="str">
        <f t="shared" si="303"/>
        <v/>
      </c>
      <c r="BR180" s="184" t="str">
        <f t="shared" si="375"/>
        <v/>
      </c>
      <c r="BS180" s="184" t="str">
        <f t="shared" si="375"/>
        <v/>
      </c>
      <c r="BT180" s="184" t="str">
        <f t="shared" si="375"/>
        <v/>
      </c>
      <c r="BU180" s="184" t="str">
        <f t="shared" si="305"/>
        <v/>
      </c>
      <c r="BV180" s="184" t="str">
        <f t="shared" si="306"/>
        <v/>
      </c>
      <c r="BW180" s="184" t="str">
        <f t="shared" si="307"/>
        <v/>
      </c>
      <c r="BX180" s="184" t="str">
        <f t="shared" si="308"/>
        <v/>
      </c>
      <c r="BY180" s="184" t="str">
        <f t="shared" si="309"/>
        <v/>
      </c>
      <c r="BZ180" s="184" t="str">
        <f t="shared" si="310"/>
        <v/>
      </c>
      <c r="CA180" s="184" t="str">
        <f t="shared" si="311"/>
        <v/>
      </c>
      <c r="CB180" s="184" t="str">
        <f t="shared" si="312"/>
        <v/>
      </c>
      <c r="CC180" s="184" t="str">
        <f t="shared" si="313"/>
        <v/>
      </c>
      <c r="CD180" s="184" t="str">
        <f t="shared" si="314"/>
        <v/>
      </c>
      <c r="CE180" s="184" t="str">
        <f t="shared" si="315"/>
        <v/>
      </c>
      <c r="CF180" s="184" t="str">
        <f t="shared" si="316"/>
        <v/>
      </c>
      <c r="CG180" s="184" t="str">
        <f t="shared" si="317"/>
        <v/>
      </c>
      <c r="CH180" s="184" t="str">
        <f t="shared" si="318"/>
        <v/>
      </c>
      <c r="CI180" s="184" t="str">
        <f t="shared" si="319"/>
        <v/>
      </c>
      <c r="CJ180" s="184" t="str">
        <f t="shared" si="320"/>
        <v/>
      </c>
      <c r="CK180" s="184"/>
      <c r="CM180" s="184"/>
      <c r="CN180"/>
      <c r="CP180"/>
      <c r="CR180"/>
      <c r="CT180"/>
      <c r="CV180"/>
      <c r="CX180"/>
      <c r="CZ180"/>
      <c r="DB180"/>
      <c r="DD180"/>
      <c r="DF180"/>
      <c r="ED180" s="184"/>
      <c r="EF180" s="184"/>
      <c r="EH180" s="184"/>
      <c r="EJ180" s="184"/>
      <c r="EL180" s="184"/>
      <c r="EN180" s="184"/>
      <c r="EP180" s="184"/>
      <c r="ER180" s="184"/>
      <c r="ET180" s="184"/>
      <c r="EV180" s="184"/>
      <c r="EX180" s="184"/>
      <c r="EZ180" s="184"/>
      <c r="FB180" s="184"/>
    </row>
    <row r="181" spans="1:158">
      <c r="A181" s="184">
        <f t="shared" si="368"/>
        <v>20.5</v>
      </c>
      <c r="B181" s="18">
        <f t="shared" si="405"/>
        <v>7190</v>
      </c>
      <c r="C181" s="18">
        <f t="shared" si="401"/>
        <v>9536.6666666666624</v>
      </c>
      <c r="D181" s="18">
        <f t="shared" si="401"/>
        <v>12611.666666666662</v>
      </c>
      <c r="E181" s="18">
        <f t="shared" si="401"/>
        <v>14091.666666666662</v>
      </c>
      <c r="F181" s="18">
        <f t="shared" si="401"/>
        <v>6748.3333333333312</v>
      </c>
      <c r="G181" s="18">
        <f t="shared" si="401"/>
        <v>8918.3333333333376</v>
      </c>
      <c r="H181" s="18">
        <f t="shared" si="401"/>
        <v>12700</v>
      </c>
      <c r="I181" s="18">
        <f t="shared" si="401"/>
        <v>7101.6666666666688</v>
      </c>
      <c r="J181" s="18">
        <f t="shared" si="401"/>
        <v>9453.3333333333376</v>
      </c>
      <c r="K181" s="18">
        <f t="shared" si="401"/>
        <v>12081.666666666662</v>
      </c>
      <c r="L181" s="18">
        <f t="shared" si="401"/>
        <v>14356.666666666662</v>
      </c>
      <c r="M181" s="18">
        <f t="shared" si="401"/>
        <v>17353.333333333328</v>
      </c>
      <c r="N181" s="18">
        <f t="shared" si="401"/>
        <v>11185</v>
      </c>
      <c r="O181" s="18">
        <f t="shared" si="401"/>
        <v>12711.666666666662</v>
      </c>
      <c r="P181" s="18">
        <f t="shared" si="401"/>
        <v>16925</v>
      </c>
      <c r="Q181" s="18">
        <f t="shared" si="401"/>
        <v>18993.333333333325</v>
      </c>
      <c r="R181" s="18">
        <f t="shared" si="401"/>
        <v>26035</v>
      </c>
      <c r="S181" s="18">
        <f t="shared" si="401"/>
        <v>16258.333333333338</v>
      </c>
      <c r="T181" s="18">
        <f t="shared" si="401"/>
        <v>18949.166666666675</v>
      </c>
      <c r="U181" s="18">
        <f t="shared" si="401"/>
        <v>22183.113333333335</v>
      </c>
      <c r="V181" s="18">
        <f t="shared" si="401"/>
        <v>26650.80000000001</v>
      </c>
      <c r="W181" s="18">
        <f t="shared" si="401"/>
        <v>33461.560000000005</v>
      </c>
      <c r="X181" s="18">
        <f t="shared" si="401"/>
        <v>34967.69999999999</v>
      </c>
      <c r="Y181" s="18">
        <f t="shared" si="401"/>
        <v>44283.33333333335</v>
      </c>
      <c r="Z181" s="18">
        <f t="shared" si="402"/>
        <v>31845.333333333325</v>
      </c>
      <c r="AA181" s="18">
        <f t="shared" si="402"/>
        <v>40410.66666666665</v>
      </c>
      <c r="AB181" s="18">
        <f t="shared" si="402"/>
        <v>50842</v>
      </c>
      <c r="AC181" s="18">
        <f t="shared" si="403"/>
        <v>11085</v>
      </c>
      <c r="AD181" s="18">
        <f t="shared" si="403"/>
        <v>12876.666666666662</v>
      </c>
      <c r="AE181" s="18">
        <f t="shared" si="403"/>
        <v>14463.333333333338</v>
      </c>
      <c r="AF181" s="18">
        <f t="shared" si="403"/>
        <v>18700</v>
      </c>
      <c r="AG181" s="18">
        <f t="shared" si="403"/>
        <v>21431.666666666675</v>
      </c>
      <c r="AH181" s="18">
        <f t="shared" ref="AH181:AK181" si="411">AH180+(AH$234-AH$174)/60</f>
        <v>14053.333333333338</v>
      </c>
      <c r="AI181" s="18">
        <f t="shared" si="411"/>
        <v>15733.333333333338</v>
      </c>
      <c r="AJ181" s="18">
        <f t="shared" si="411"/>
        <v>21025</v>
      </c>
      <c r="AK181" s="18">
        <f t="shared" si="411"/>
        <v>23700</v>
      </c>
      <c r="AL181" s="18">
        <f t="shared" si="403"/>
        <v>22000</v>
      </c>
      <c r="AM181" s="18">
        <f t="shared" si="403"/>
        <v>25000</v>
      </c>
      <c r="AN181" s="18">
        <f t="shared" si="403"/>
        <v>28600</v>
      </c>
      <c r="AO181" s="18">
        <f t="shared" si="403"/>
        <v>45000</v>
      </c>
      <c r="AP181" s="18">
        <f t="shared" si="403"/>
        <v>48000</v>
      </c>
      <c r="AQ181" s="18">
        <f t="shared" si="403"/>
        <v>54000</v>
      </c>
      <c r="AR181" s="18">
        <f t="shared" si="403"/>
        <v>147200</v>
      </c>
      <c r="AS181" s="18">
        <f t="shared" ref="AS181:AS212" si="412">IF(($D$49-A181)&lt;5,0,IF(($D$49-A181)&gt;=($D$49-$C$49),1,MAX(0,MIN(1,(($D$49-8)-A181)/($D$49-($C$49-5))))))*heat_load</f>
        <v>25760.869565217392</v>
      </c>
      <c r="AT181" s="184" t="str">
        <f t="shared" si="280"/>
        <v/>
      </c>
      <c r="AU181" s="184" t="str">
        <f t="shared" si="281"/>
        <v/>
      </c>
      <c r="AV181" s="184" t="str">
        <f t="shared" si="282"/>
        <v/>
      </c>
      <c r="AW181" s="184" t="str">
        <f t="shared" si="283"/>
        <v/>
      </c>
      <c r="AX181" s="184" t="str">
        <f t="shared" si="284"/>
        <v/>
      </c>
      <c r="AY181" s="184" t="str">
        <f t="shared" si="285"/>
        <v/>
      </c>
      <c r="AZ181" s="184" t="str">
        <f t="shared" si="286"/>
        <v/>
      </c>
      <c r="BA181" s="184" t="str">
        <f t="shared" si="287"/>
        <v/>
      </c>
      <c r="BB181" s="184" t="str">
        <f t="shared" si="288"/>
        <v/>
      </c>
      <c r="BC181" s="184" t="str">
        <f t="shared" si="289"/>
        <v/>
      </c>
      <c r="BD181" s="184" t="str">
        <f t="shared" si="290"/>
        <v/>
      </c>
      <c r="BE181" s="184" t="str">
        <f t="shared" si="291"/>
        <v/>
      </c>
      <c r="BF181" s="184" t="str">
        <f t="shared" si="292"/>
        <v/>
      </c>
      <c r="BG181" s="184" t="str">
        <f t="shared" si="293"/>
        <v/>
      </c>
      <c r="BH181" s="184" t="str">
        <f t="shared" si="294"/>
        <v/>
      </c>
      <c r="BI181" s="184" t="str">
        <f t="shared" si="295"/>
        <v/>
      </c>
      <c r="BJ181" s="184">
        <f t="shared" si="296"/>
        <v>1</v>
      </c>
      <c r="BK181" s="184" t="str">
        <f t="shared" si="297"/>
        <v/>
      </c>
      <c r="BL181" s="184" t="str">
        <f t="shared" si="298"/>
        <v/>
      </c>
      <c r="BM181" s="184" t="str">
        <f t="shared" si="299"/>
        <v/>
      </c>
      <c r="BN181" s="184" t="str">
        <f t="shared" si="300"/>
        <v/>
      </c>
      <c r="BO181" s="184" t="str">
        <f t="shared" si="301"/>
        <v/>
      </c>
      <c r="BP181" s="184" t="str">
        <f t="shared" si="302"/>
        <v/>
      </c>
      <c r="BQ181" s="184" t="str">
        <f t="shared" si="303"/>
        <v/>
      </c>
      <c r="BR181" s="184" t="str">
        <f t="shared" si="375"/>
        <v/>
      </c>
      <c r="BS181" s="184" t="str">
        <f t="shared" si="375"/>
        <v/>
      </c>
      <c r="BT181" s="184" t="str">
        <f t="shared" si="375"/>
        <v/>
      </c>
      <c r="BU181" s="184" t="str">
        <f t="shared" si="305"/>
        <v/>
      </c>
      <c r="BV181" s="184" t="str">
        <f t="shared" si="306"/>
        <v/>
      </c>
      <c r="BW181" s="184" t="str">
        <f t="shared" si="307"/>
        <v/>
      </c>
      <c r="BX181" s="184" t="str">
        <f t="shared" si="308"/>
        <v/>
      </c>
      <c r="BY181" s="184" t="str">
        <f t="shared" si="309"/>
        <v/>
      </c>
      <c r="BZ181" s="184" t="str">
        <f t="shared" si="310"/>
        <v/>
      </c>
      <c r="CA181" s="184" t="str">
        <f t="shared" si="311"/>
        <v/>
      </c>
      <c r="CB181" s="184" t="str">
        <f t="shared" si="312"/>
        <v/>
      </c>
      <c r="CC181" s="184" t="str">
        <f t="shared" si="313"/>
        <v/>
      </c>
      <c r="CD181" s="184" t="str">
        <f t="shared" si="314"/>
        <v/>
      </c>
      <c r="CE181" s="184" t="str">
        <f t="shared" si="315"/>
        <v/>
      </c>
      <c r="CF181" s="184" t="str">
        <f t="shared" si="316"/>
        <v/>
      </c>
      <c r="CG181" s="184" t="str">
        <f t="shared" si="317"/>
        <v/>
      </c>
      <c r="CH181" s="184" t="str">
        <f t="shared" si="318"/>
        <v/>
      </c>
      <c r="CI181" s="184" t="str">
        <f t="shared" si="319"/>
        <v/>
      </c>
      <c r="CJ181" s="184" t="str">
        <f t="shared" si="320"/>
        <v/>
      </c>
      <c r="CK181" s="184"/>
      <c r="CM181" s="184"/>
      <c r="CN181"/>
      <c r="CP181"/>
      <c r="CR181"/>
      <c r="CT181"/>
      <c r="CV181"/>
      <c r="CX181"/>
      <c r="CZ181"/>
      <c r="DB181"/>
      <c r="DD181"/>
      <c r="DF181"/>
      <c r="ED181" s="184"/>
      <c r="EF181" s="184"/>
      <c r="EH181" s="184"/>
      <c r="EJ181" s="184"/>
      <c r="EL181" s="184"/>
      <c r="EN181" s="184"/>
      <c r="EP181" s="184"/>
      <c r="ER181" s="184"/>
      <c r="ET181" s="184"/>
      <c r="EV181" s="184"/>
      <c r="EX181" s="184"/>
      <c r="EZ181" s="184"/>
      <c r="FB181" s="184"/>
    </row>
    <row r="182" spans="1:158">
      <c r="A182" s="184">
        <f t="shared" si="368"/>
        <v>21</v>
      </c>
      <c r="B182" s="18">
        <f t="shared" si="405"/>
        <v>7260</v>
      </c>
      <c r="C182" s="18">
        <f t="shared" si="401"/>
        <v>9613.3333333333285</v>
      </c>
      <c r="D182" s="18">
        <f t="shared" si="401"/>
        <v>12713.333333333328</v>
      </c>
      <c r="E182" s="18">
        <f t="shared" si="401"/>
        <v>14233.333333333328</v>
      </c>
      <c r="F182" s="18">
        <f t="shared" si="401"/>
        <v>6826.6666666666642</v>
      </c>
      <c r="G182" s="18">
        <f t="shared" si="401"/>
        <v>9006.6666666666715</v>
      </c>
      <c r="H182" s="18">
        <f t="shared" si="401"/>
        <v>12800</v>
      </c>
      <c r="I182" s="18">
        <f t="shared" si="401"/>
        <v>7173.3333333333358</v>
      </c>
      <c r="J182" s="18">
        <f t="shared" si="401"/>
        <v>9546.6666666666715</v>
      </c>
      <c r="K182" s="18">
        <f t="shared" si="401"/>
        <v>12193.333333333328</v>
      </c>
      <c r="L182" s="18">
        <f t="shared" si="401"/>
        <v>14493.333333333328</v>
      </c>
      <c r="M182" s="18">
        <f t="shared" si="401"/>
        <v>17546.666666666661</v>
      </c>
      <c r="N182" s="18">
        <f t="shared" si="401"/>
        <v>11240</v>
      </c>
      <c r="O182" s="18">
        <f t="shared" si="401"/>
        <v>12813.333333333328</v>
      </c>
      <c r="P182" s="18">
        <f t="shared" si="401"/>
        <v>17000</v>
      </c>
      <c r="Q182" s="18">
        <f t="shared" si="401"/>
        <v>19106.666666666657</v>
      </c>
      <c r="R182" s="18">
        <f t="shared" si="401"/>
        <v>26240</v>
      </c>
      <c r="S182" s="18">
        <f t="shared" si="401"/>
        <v>16366.666666666672</v>
      </c>
      <c r="T182" s="18">
        <f t="shared" si="401"/>
        <v>19063.333333333343</v>
      </c>
      <c r="U182" s="18">
        <f t="shared" si="401"/>
        <v>22304.186666666668</v>
      </c>
      <c r="V182" s="18">
        <f t="shared" si="401"/>
        <v>26827.200000000012</v>
      </c>
      <c r="W182" s="18">
        <f t="shared" si="401"/>
        <v>33683.040000000008</v>
      </c>
      <c r="X182" s="18">
        <f t="shared" si="401"/>
        <v>35326.799999999988</v>
      </c>
      <c r="Y182" s="18">
        <f t="shared" si="401"/>
        <v>44466.666666666686</v>
      </c>
      <c r="Z182" s="18">
        <f t="shared" si="402"/>
        <v>32074.666666666657</v>
      </c>
      <c r="AA182" s="18">
        <f t="shared" si="402"/>
        <v>40629.333333333314</v>
      </c>
      <c r="AB182" s="18">
        <f t="shared" si="402"/>
        <v>51128</v>
      </c>
      <c r="AC182" s="18">
        <f t="shared" si="403"/>
        <v>11140</v>
      </c>
      <c r="AD182" s="18">
        <f t="shared" si="403"/>
        <v>12973.333333333328</v>
      </c>
      <c r="AE182" s="18">
        <f t="shared" si="403"/>
        <v>14586.666666666672</v>
      </c>
      <c r="AF182" s="18">
        <f t="shared" si="403"/>
        <v>18800</v>
      </c>
      <c r="AG182" s="18">
        <f t="shared" si="403"/>
        <v>21593.333333333343</v>
      </c>
      <c r="AH182" s="18">
        <f t="shared" ref="AH182:AK182" si="413">AH181+(AH$234-AH$174)/60</f>
        <v>14146.666666666672</v>
      </c>
      <c r="AI182" s="18">
        <f t="shared" si="413"/>
        <v>15866.666666666672</v>
      </c>
      <c r="AJ182" s="18">
        <f t="shared" si="413"/>
        <v>21100</v>
      </c>
      <c r="AK182" s="18">
        <f t="shared" si="413"/>
        <v>23800</v>
      </c>
      <c r="AL182" s="18">
        <f t="shared" si="403"/>
        <v>22000</v>
      </c>
      <c r="AM182" s="18">
        <f t="shared" si="403"/>
        <v>25000</v>
      </c>
      <c r="AN182" s="18">
        <f t="shared" si="403"/>
        <v>28600</v>
      </c>
      <c r="AO182" s="18">
        <f t="shared" si="403"/>
        <v>45000</v>
      </c>
      <c r="AP182" s="18">
        <f t="shared" si="403"/>
        <v>48000</v>
      </c>
      <c r="AQ182" s="18">
        <f t="shared" si="403"/>
        <v>54000</v>
      </c>
      <c r="AR182" s="18">
        <f t="shared" si="403"/>
        <v>147200</v>
      </c>
      <c r="AS182" s="18">
        <f t="shared" si="412"/>
        <v>25434.782608695652</v>
      </c>
      <c r="AT182" s="184" t="str">
        <f t="shared" ref="AT182:AT213" si="414">IF(AND(B182&gt;=$AS182,B181&lt;$AS181),1,"")</f>
        <v/>
      </c>
      <c r="AU182" s="184" t="str">
        <f t="shared" ref="AU182:AU213" si="415">IF(AND(C182&gt;=$AS182,C181&lt;$AS181),1,"")</f>
        <v/>
      </c>
      <c r="AV182" s="184" t="str">
        <f t="shared" ref="AV182:AV213" si="416">IF(AND(D182&gt;=$AS182,D181&lt;$AS181),1,"")</f>
        <v/>
      </c>
      <c r="AW182" s="184" t="str">
        <f t="shared" ref="AW182:AW213" si="417">IF(AND(E182&gt;=$AS182,E181&lt;$AS181),1,"")</f>
        <v/>
      </c>
      <c r="AX182" s="184" t="str">
        <f t="shared" ref="AX182:AX213" si="418">IF(AND(F182&gt;=$AS182,F181&lt;$AS181),1,"")</f>
        <v/>
      </c>
      <c r="AY182" s="184" t="str">
        <f t="shared" ref="AY182:AY213" si="419">IF(AND(G182&gt;=$AS182,G181&lt;$AS181),1,"")</f>
        <v/>
      </c>
      <c r="AZ182" s="184" t="str">
        <f t="shared" ref="AZ182:AZ213" si="420">IF(AND(H182&gt;=$AS182,H181&lt;$AS181),1,"")</f>
        <v/>
      </c>
      <c r="BA182" s="184" t="str">
        <f t="shared" ref="BA182:BA213" si="421">IF(AND(I182&gt;=$AS182,I181&lt;$AS181),1,"")</f>
        <v/>
      </c>
      <c r="BB182" s="184" t="str">
        <f t="shared" ref="BB182:BB213" si="422">IF(AND(J182&gt;=$AS182,J181&lt;$AS181),1,"")</f>
        <v/>
      </c>
      <c r="BC182" s="184" t="str">
        <f t="shared" ref="BC182:BC213" si="423">IF(AND(K182&gt;=$AS182,K181&lt;$AS181),1,"")</f>
        <v/>
      </c>
      <c r="BD182" s="184" t="str">
        <f t="shared" ref="BD182:BD213" si="424">IF(AND(L182&gt;=$AS182,L181&lt;$AS181),1,"")</f>
        <v/>
      </c>
      <c r="BE182" s="184" t="str">
        <f t="shared" ref="BE182:BE213" si="425">IF(AND(M182&gt;=$AS182,M181&lt;$AS181),1,"")</f>
        <v/>
      </c>
      <c r="BF182" s="184" t="str">
        <f t="shared" ref="BF182:BF213" si="426">IF(AND(N182&gt;=$AS182,N181&lt;$AS181),1,"")</f>
        <v/>
      </c>
      <c r="BG182" s="184" t="str">
        <f t="shared" ref="BG182:BG213" si="427">IF(AND(O182&gt;=$AS182,O181&lt;$AS181),1,"")</f>
        <v/>
      </c>
      <c r="BH182" s="184" t="str">
        <f t="shared" ref="BH182:BH213" si="428">IF(AND(P182&gt;=$AS182,P181&lt;$AS181),1,"")</f>
        <v/>
      </c>
      <c r="BI182" s="184" t="str">
        <f t="shared" ref="BI182:BI213" si="429">IF(AND(Q182&gt;=$AS182,Q181&lt;$AS181),1,"")</f>
        <v/>
      </c>
      <c r="BJ182" s="184" t="str">
        <f t="shared" ref="BJ182:BJ213" si="430">IF(AND(R182&gt;=$AS182,R181&lt;$AS181),1,"")</f>
        <v/>
      </c>
      <c r="BK182" s="184" t="str">
        <f t="shared" ref="BK182:BK213" si="431">IF(AND(S182&gt;=$AS182,S181&lt;$AS181),1,"")</f>
        <v/>
      </c>
      <c r="BL182" s="184" t="str">
        <f t="shared" ref="BL182:BL213" si="432">IF(AND(T182&gt;=$AS182,T181&lt;$AS181),1,"")</f>
        <v/>
      </c>
      <c r="BM182" s="184" t="str">
        <f t="shared" ref="BM182:BM213" si="433">IF(AND(U182&gt;=$AS182,U181&lt;$AS181),1,"")</f>
        <v/>
      </c>
      <c r="BN182" s="184" t="str">
        <f t="shared" ref="BN182:BN213" si="434">IF(AND(V182&gt;=$AS182,V181&lt;$AS181),1,"")</f>
        <v/>
      </c>
      <c r="BO182" s="184" t="str">
        <f t="shared" ref="BO182:BO213" si="435">IF(AND(W182&gt;=$AS182,W181&lt;$AS181),1,"")</f>
        <v/>
      </c>
      <c r="BP182" s="184" t="str">
        <f t="shared" ref="BP182:BP213" si="436">IF(AND(X182&gt;=$AS182,X181&lt;$AS181),1,"")</f>
        <v/>
      </c>
      <c r="BQ182" s="184" t="str">
        <f t="shared" ref="BQ182:BQ213" si="437">IF(AND(Y182&gt;=$AS182,Y181&lt;$AS181),1,"")</f>
        <v/>
      </c>
      <c r="BR182" s="184" t="str">
        <f t="shared" ref="BR182:BT197" si="438">IF(AND(Z182&gt;=$AS182,Z181&lt;$AS181),1,"")</f>
        <v/>
      </c>
      <c r="BS182" s="184" t="str">
        <f t="shared" si="438"/>
        <v/>
      </c>
      <c r="BT182" s="184" t="str">
        <f t="shared" si="438"/>
        <v/>
      </c>
      <c r="BU182" s="184" t="str">
        <f t="shared" ref="BU182:BU213" si="439">IF(AND(AC182&gt;=$AS182,AC181&lt;$AS181),1,"")</f>
        <v/>
      </c>
      <c r="BV182" s="184" t="str">
        <f t="shared" ref="BV182:BV213" si="440">IF(AND(AD182&gt;=$AS182,AD181&lt;$AS181),1,"")</f>
        <v/>
      </c>
      <c r="BW182" s="184" t="str">
        <f t="shared" ref="BW182:BW213" si="441">IF(AND(AE182&gt;=$AS182,AE181&lt;$AS181),1,"")</f>
        <v/>
      </c>
      <c r="BX182" s="184" t="str">
        <f t="shared" ref="BX182:BX213" si="442">IF(AND(AF182&gt;=$AS182,AF181&lt;$AS181),1,"")</f>
        <v/>
      </c>
      <c r="BY182" s="184" t="str">
        <f t="shared" ref="BY182:BY213" si="443">IF(AND(AG182&gt;=$AS182,AG181&lt;$AS181),1,"")</f>
        <v/>
      </c>
      <c r="BZ182" s="184" t="str">
        <f t="shared" ref="BZ182:BZ213" si="444">IF(AND(AH182&gt;=$AS182,AH181&lt;$AS181),1,"")</f>
        <v/>
      </c>
      <c r="CA182" s="184" t="str">
        <f t="shared" ref="CA182:CA213" si="445">IF(AND(AI182&gt;=$AS182,AI181&lt;$AS181),1,"")</f>
        <v/>
      </c>
      <c r="CB182" s="184" t="str">
        <f t="shared" ref="CB182:CB213" si="446">IF(AND(AJ182&gt;=$AS182,AJ181&lt;$AS181),1,"")</f>
        <v/>
      </c>
      <c r="CC182" s="184" t="str">
        <f t="shared" ref="CC182:CC213" si="447">IF(AND(AK182&gt;=$AS182,AK181&lt;$AS181),1,"")</f>
        <v/>
      </c>
      <c r="CD182" s="184" t="str">
        <f t="shared" ref="CD182:CD213" si="448">IF(AND(AL182&gt;=$AS182,AL181&lt;$AS181),1,"")</f>
        <v/>
      </c>
      <c r="CE182" s="184" t="str">
        <f t="shared" ref="CE182:CE213" si="449">IF(AND(AM182&gt;=$AS182,AM181&lt;$AS181),1,"")</f>
        <v/>
      </c>
      <c r="CF182" s="184" t="str">
        <f t="shared" ref="CF182:CF213" si="450">IF(AND(AN182&gt;=$AS182,AN181&lt;$AS181),1,"")</f>
        <v/>
      </c>
      <c r="CG182" s="184" t="str">
        <f t="shared" ref="CG182:CG213" si="451">IF(AND(AO182&gt;=$AS182,AO181&lt;$AS181),1,"")</f>
        <v/>
      </c>
      <c r="CH182" s="184" t="str">
        <f t="shared" ref="CH182:CH213" si="452">IF(AND(AP182&gt;=$AS182,AP181&lt;$AS181),1,"")</f>
        <v/>
      </c>
      <c r="CI182" s="184" t="str">
        <f t="shared" ref="CI182:CI213" si="453">IF(AND(AQ182&gt;=$AS182,AQ181&lt;$AS181),1,"")</f>
        <v/>
      </c>
      <c r="CJ182" s="184" t="str">
        <f t="shared" ref="CJ182:CJ213" si="454">IF(AND(AR182&gt;=$AS182,AR181&lt;$AS181),1,"")</f>
        <v/>
      </c>
      <c r="CK182" s="184"/>
      <c r="CM182" s="184"/>
      <c r="CN182"/>
      <c r="CP182"/>
      <c r="CR182"/>
      <c r="CT182"/>
      <c r="CV182"/>
      <c r="CX182"/>
      <c r="CZ182"/>
      <c r="DB182"/>
      <c r="DD182"/>
      <c r="DF182"/>
      <c r="ED182" s="184"/>
      <c r="EF182" s="184"/>
      <c r="EH182" s="184"/>
      <c r="EJ182" s="184"/>
      <c r="EL182" s="184"/>
      <c r="EN182" s="184"/>
      <c r="EP182" s="184"/>
      <c r="ER182" s="184"/>
      <c r="ET182" s="184"/>
      <c r="EV182" s="184"/>
      <c r="EX182" s="184"/>
      <c r="EZ182" s="184"/>
      <c r="FB182" s="184"/>
    </row>
    <row r="183" spans="1:158">
      <c r="A183" s="184">
        <f t="shared" si="368"/>
        <v>21.5</v>
      </c>
      <c r="B183" s="18">
        <f t="shared" si="405"/>
        <v>7330</v>
      </c>
      <c r="C183" s="18">
        <f t="shared" si="401"/>
        <v>9689.9999999999945</v>
      </c>
      <c r="D183" s="18">
        <f t="shared" si="401"/>
        <v>12814.999999999995</v>
      </c>
      <c r="E183" s="18">
        <f t="shared" si="401"/>
        <v>14374.999999999995</v>
      </c>
      <c r="F183" s="18">
        <f t="shared" si="401"/>
        <v>6904.9999999999973</v>
      </c>
      <c r="G183" s="18">
        <f t="shared" si="401"/>
        <v>9095.0000000000055</v>
      </c>
      <c r="H183" s="18">
        <f t="shared" si="401"/>
        <v>12900</v>
      </c>
      <c r="I183" s="18">
        <f t="shared" si="401"/>
        <v>7245.0000000000027</v>
      </c>
      <c r="J183" s="18">
        <f t="shared" si="401"/>
        <v>9640.0000000000055</v>
      </c>
      <c r="K183" s="18">
        <f t="shared" si="401"/>
        <v>12304.999999999995</v>
      </c>
      <c r="L183" s="18">
        <f t="shared" si="401"/>
        <v>14629.999999999995</v>
      </c>
      <c r="M183" s="18">
        <f t="shared" si="401"/>
        <v>17739.999999999993</v>
      </c>
      <c r="N183" s="18">
        <f t="shared" si="401"/>
        <v>11295</v>
      </c>
      <c r="O183" s="18">
        <f t="shared" si="401"/>
        <v>12914.999999999995</v>
      </c>
      <c r="P183" s="18">
        <f t="shared" si="401"/>
        <v>17075</v>
      </c>
      <c r="Q183" s="18">
        <f t="shared" si="401"/>
        <v>19219.999999999989</v>
      </c>
      <c r="R183" s="18">
        <f t="shared" si="401"/>
        <v>26445</v>
      </c>
      <c r="S183" s="18">
        <f t="shared" si="401"/>
        <v>16475.000000000004</v>
      </c>
      <c r="T183" s="18">
        <f t="shared" si="401"/>
        <v>19177.500000000011</v>
      </c>
      <c r="U183" s="18">
        <f t="shared" si="401"/>
        <v>22425.260000000002</v>
      </c>
      <c r="V183" s="18">
        <f t="shared" si="401"/>
        <v>27003.600000000013</v>
      </c>
      <c r="W183" s="18">
        <f t="shared" si="401"/>
        <v>33904.520000000011</v>
      </c>
      <c r="X183" s="18">
        <f t="shared" si="401"/>
        <v>35685.899999999987</v>
      </c>
      <c r="Y183" s="18">
        <f t="shared" si="401"/>
        <v>44650.000000000022</v>
      </c>
      <c r="Z183" s="18">
        <f t="shared" si="402"/>
        <v>32303.999999999989</v>
      </c>
      <c r="AA183" s="18">
        <f t="shared" si="402"/>
        <v>40847.999999999978</v>
      </c>
      <c r="AB183" s="18">
        <f t="shared" si="402"/>
        <v>51414</v>
      </c>
      <c r="AC183" s="18">
        <f t="shared" si="403"/>
        <v>11195</v>
      </c>
      <c r="AD183" s="18">
        <f t="shared" si="403"/>
        <v>13069.999999999995</v>
      </c>
      <c r="AE183" s="18">
        <f t="shared" si="403"/>
        <v>14710.000000000005</v>
      </c>
      <c r="AF183" s="18">
        <f t="shared" si="403"/>
        <v>18900</v>
      </c>
      <c r="AG183" s="18">
        <f t="shared" si="403"/>
        <v>21755.000000000011</v>
      </c>
      <c r="AH183" s="18">
        <f t="shared" ref="AH183:AK183" si="455">AH182+(AH$234-AH$174)/60</f>
        <v>14240.000000000005</v>
      </c>
      <c r="AI183" s="18">
        <f t="shared" si="455"/>
        <v>16000.000000000005</v>
      </c>
      <c r="AJ183" s="18">
        <f t="shared" si="455"/>
        <v>21175</v>
      </c>
      <c r="AK183" s="18">
        <f t="shared" si="455"/>
        <v>23900</v>
      </c>
      <c r="AL183" s="18">
        <f t="shared" si="403"/>
        <v>22000</v>
      </c>
      <c r="AM183" s="18">
        <f t="shared" si="403"/>
        <v>25000</v>
      </c>
      <c r="AN183" s="18">
        <f t="shared" si="403"/>
        <v>28600</v>
      </c>
      <c r="AO183" s="18">
        <f t="shared" si="403"/>
        <v>45000</v>
      </c>
      <c r="AP183" s="18">
        <f t="shared" si="403"/>
        <v>48000</v>
      </c>
      <c r="AQ183" s="18">
        <f t="shared" si="403"/>
        <v>54000</v>
      </c>
      <c r="AR183" s="18">
        <f t="shared" si="403"/>
        <v>147200</v>
      </c>
      <c r="AS183" s="18">
        <f t="shared" si="412"/>
        <v>25108.695652173916</v>
      </c>
      <c r="AT183" s="184" t="str">
        <f t="shared" si="414"/>
        <v/>
      </c>
      <c r="AU183" s="184" t="str">
        <f t="shared" si="415"/>
        <v/>
      </c>
      <c r="AV183" s="184" t="str">
        <f t="shared" si="416"/>
        <v/>
      </c>
      <c r="AW183" s="184" t="str">
        <f t="shared" si="417"/>
        <v/>
      </c>
      <c r="AX183" s="184" t="str">
        <f t="shared" si="418"/>
        <v/>
      </c>
      <c r="AY183" s="184" t="str">
        <f t="shared" si="419"/>
        <v/>
      </c>
      <c r="AZ183" s="184" t="str">
        <f t="shared" si="420"/>
        <v/>
      </c>
      <c r="BA183" s="184" t="str">
        <f t="shared" si="421"/>
        <v/>
      </c>
      <c r="BB183" s="184" t="str">
        <f t="shared" si="422"/>
        <v/>
      </c>
      <c r="BC183" s="184" t="str">
        <f t="shared" si="423"/>
        <v/>
      </c>
      <c r="BD183" s="184" t="str">
        <f t="shared" si="424"/>
        <v/>
      </c>
      <c r="BE183" s="184" t="str">
        <f t="shared" si="425"/>
        <v/>
      </c>
      <c r="BF183" s="184" t="str">
        <f t="shared" si="426"/>
        <v/>
      </c>
      <c r="BG183" s="184" t="str">
        <f t="shared" si="427"/>
        <v/>
      </c>
      <c r="BH183" s="184" t="str">
        <f t="shared" si="428"/>
        <v/>
      </c>
      <c r="BI183" s="184" t="str">
        <f t="shared" si="429"/>
        <v/>
      </c>
      <c r="BJ183" s="184" t="str">
        <f t="shared" si="430"/>
        <v/>
      </c>
      <c r="BK183" s="184" t="str">
        <f t="shared" si="431"/>
        <v/>
      </c>
      <c r="BL183" s="184" t="str">
        <f t="shared" si="432"/>
        <v/>
      </c>
      <c r="BM183" s="184" t="str">
        <f t="shared" si="433"/>
        <v/>
      </c>
      <c r="BN183" s="184" t="str">
        <f t="shared" si="434"/>
        <v/>
      </c>
      <c r="BO183" s="184" t="str">
        <f t="shared" si="435"/>
        <v/>
      </c>
      <c r="BP183" s="184" t="str">
        <f t="shared" si="436"/>
        <v/>
      </c>
      <c r="BQ183" s="184" t="str">
        <f t="shared" si="437"/>
        <v/>
      </c>
      <c r="BR183" s="184" t="str">
        <f t="shared" si="438"/>
        <v/>
      </c>
      <c r="BS183" s="184" t="str">
        <f t="shared" si="438"/>
        <v/>
      </c>
      <c r="BT183" s="184" t="str">
        <f t="shared" si="438"/>
        <v/>
      </c>
      <c r="BU183" s="184" t="str">
        <f t="shared" si="439"/>
        <v/>
      </c>
      <c r="BV183" s="184" t="str">
        <f t="shared" si="440"/>
        <v/>
      </c>
      <c r="BW183" s="184" t="str">
        <f t="shared" si="441"/>
        <v/>
      </c>
      <c r="BX183" s="184" t="str">
        <f t="shared" si="442"/>
        <v/>
      </c>
      <c r="BY183" s="184" t="str">
        <f t="shared" si="443"/>
        <v/>
      </c>
      <c r="BZ183" s="184" t="str">
        <f t="shared" si="444"/>
        <v/>
      </c>
      <c r="CA183" s="184" t="str">
        <f t="shared" si="445"/>
        <v/>
      </c>
      <c r="CB183" s="184" t="str">
        <f t="shared" si="446"/>
        <v/>
      </c>
      <c r="CC183" s="184" t="str">
        <f t="shared" si="447"/>
        <v/>
      </c>
      <c r="CD183" s="184" t="str">
        <f t="shared" si="448"/>
        <v/>
      </c>
      <c r="CE183" s="184" t="str">
        <f t="shared" si="449"/>
        <v/>
      </c>
      <c r="CF183" s="184" t="str">
        <f t="shared" si="450"/>
        <v/>
      </c>
      <c r="CG183" s="184" t="str">
        <f t="shared" si="451"/>
        <v/>
      </c>
      <c r="CH183" s="184" t="str">
        <f t="shared" si="452"/>
        <v/>
      </c>
      <c r="CI183" s="184" t="str">
        <f t="shared" si="453"/>
        <v/>
      </c>
      <c r="CJ183" s="184" t="str">
        <f t="shared" si="454"/>
        <v/>
      </c>
      <c r="CK183" s="184"/>
      <c r="CM183" s="184"/>
      <c r="CN183"/>
      <c r="CP183"/>
      <c r="CR183"/>
      <c r="CT183"/>
      <c r="CV183"/>
      <c r="CX183"/>
      <c r="CZ183"/>
      <c r="DB183"/>
      <c r="DD183"/>
      <c r="DF183"/>
      <c r="ED183" s="184"/>
      <c r="EF183" s="184"/>
      <c r="EH183" s="184"/>
      <c r="EJ183" s="184"/>
      <c r="EL183" s="184"/>
      <c r="EN183" s="184"/>
      <c r="EP183" s="184"/>
      <c r="ER183" s="184"/>
      <c r="ET183" s="184"/>
      <c r="EV183" s="184"/>
      <c r="EX183" s="184"/>
      <c r="EZ183" s="184"/>
      <c r="FB183" s="184"/>
    </row>
    <row r="184" spans="1:158">
      <c r="A184" s="184">
        <f t="shared" si="368"/>
        <v>22</v>
      </c>
      <c r="B184" s="18">
        <f t="shared" si="405"/>
        <v>7400</v>
      </c>
      <c r="C184" s="18">
        <f t="shared" si="401"/>
        <v>9766.6666666666606</v>
      </c>
      <c r="D184" s="18">
        <f t="shared" si="401"/>
        <v>12916.666666666661</v>
      </c>
      <c r="E184" s="18">
        <f t="shared" si="401"/>
        <v>14516.666666666661</v>
      </c>
      <c r="F184" s="18">
        <f t="shared" si="401"/>
        <v>6983.3333333333303</v>
      </c>
      <c r="G184" s="18">
        <f t="shared" si="401"/>
        <v>9183.3333333333394</v>
      </c>
      <c r="H184" s="18">
        <f t="shared" si="401"/>
        <v>13000</v>
      </c>
      <c r="I184" s="18">
        <f t="shared" si="401"/>
        <v>7316.6666666666697</v>
      </c>
      <c r="J184" s="18">
        <f t="shared" si="401"/>
        <v>9733.3333333333394</v>
      </c>
      <c r="K184" s="18">
        <f t="shared" si="401"/>
        <v>12416.666666666661</v>
      </c>
      <c r="L184" s="18">
        <f t="shared" si="401"/>
        <v>14766.666666666661</v>
      </c>
      <c r="M184" s="18">
        <f t="shared" si="401"/>
        <v>17933.333333333325</v>
      </c>
      <c r="N184" s="18">
        <f t="shared" si="401"/>
        <v>11350</v>
      </c>
      <c r="O184" s="18">
        <f t="shared" si="401"/>
        <v>13016.666666666661</v>
      </c>
      <c r="P184" s="18">
        <f t="shared" si="401"/>
        <v>17150</v>
      </c>
      <c r="Q184" s="18">
        <f t="shared" si="401"/>
        <v>19333.333333333321</v>
      </c>
      <c r="R184" s="18">
        <f t="shared" si="401"/>
        <v>26650</v>
      </c>
      <c r="S184" s="18">
        <f t="shared" si="401"/>
        <v>16583.333333333336</v>
      </c>
      <c r="T184" s="18">
        <f t="shared" si="401"/>
        <v>19291.666666666679</v>
      </c>
      <c r="U184" s="18">
        <f t="shared" si="401"/>
        <v>22546.333333333336</v>
      </c>
      <c r="V184" s="18">
        <f t="shared" si="401"/>
        <v>27180.000000000015</v>
      </c>
      <c r="W184" s="18">
        <f t="shared" si="401"/>
        <v>34126.000000000015</v>
      </c>
      <c r="X184" s="18">
        <f t="shared" si="401"/>
        <v>36044.999999999985</v>
      </c>
      <c r="Y184" s="18">
        <f t="shared" si="401"/>
        <v>44833.333333333358</v>
      </c>
      <c r="Z184" s="18">
        <f t="shared" si="402"/>
        <v>32533.333333333321</v>
      </c>
      <c r="AA184" s="18">
        <f t="shared" si="402"/>
        <v>41066.666666666642</v>
      </c>
      <c r="AB184" s="18">
        <f t="shared" si="402"/>
        <v>51700</v>
      </c>
      <c r="AC184" s="18">
        <f t="shared" si="403"/>
        <v>11250</v>
      </c>
      <c r="AD184" s="18">
        <f t="shared" si="403"/>
        <v>13166.666666666661</v>
      </c>
      <c r="AE184" s="18">
        <f t="shared" si="403"/>
        <v>14833.333333333339</v>
      </c>
      <c r="AF184" s="18">
        <f t="shared" si="403"/>
        <v>19000</v>
      </c>
      <c r="AG184" s="18">
        <f t="shared" si="403"/>
        <v>21916.666666666679</v>
      </c>
      <c r="AH184" s="18">
        <f t="shared" ref="AH184:AK184" si="456">AH183+(AH$234-AH$174)/60</f>
        <v>14333.333333333339</v>
      </c>
      <c r="AI184" s="18">
        <f t="shared" si="456"/>
        <v>16133.333333333339</v>
      </c>
      <c r="AJ184" s="18">
        <f t="shared" si="456"/>
        <v>21250</v>
      </c>
      <c r="AK184" s="18">
        <f t="shared" si="456"/>
        <v>24000</v>
      </c>
      <c r="AL184" s="18">
        <f t="shared" si="403"/>
        <v>22000</v>
      </c>
      <c r="AM184" s="18">
        <f t="shared" si="403"/>
        <v>25000</v>
      </c>
      <c r="AN184" s="18">
        <f t="shared" si="403"/>
        <v>28600</v>
      </c>
      <c r="AO184" s="18">
        <f t="shared" si="403"/>
        <v>45000</v>
      </c>
      <c r="AP184" s="18">
        <f t="shared" si="403"/>
        <v>48000</v>
      </c>
      <c r="AQ184" s="18">
        <f t="shared" si="403"/>
        <v>54000</v>
      </c>
      <c r="AR184" s="18">
        <f t="shared" si="403"/>
        <v>147200</v>
      </c>
      <c r="AS184" s="18">
        <f t="shared" si="412"/>
        <v>24782.608695652176</v>
      </c>
      <c r="AT184" s="184" t="str">
        <f t="shared" si="414"/>
        <v/>
      </c>
      <c r="AU184" s="184" t="str">
        <f t="shared" si="415"/>
        <v/>
      </c>
      <c r="AV184" s="184" t="str">
        <f t="shared" si="416"/>
        <v/>
      </c>
      <c r="AW184" s="184" t="str">
        <f t="shared" si="417"/>
        <v/>
      </c>
      <c r="AX184" s="184" t="str">
        <f t="shared" si="418"/>
        <v/>
      </c>
      <c r="AY184" s="184" t="str">
        <f t="shared" si="419"/>
        <v/>
      </c>
      <c r="AZ184" s="184" t="str">
        <f t="shared" si="420"/>
        <v/>
      </c>
      <c r="BA184" s="184" t="str">
        <f t="shared" si="421"/>
        <v/>
      </c>
      <c r="BB184" s="184" t="str">
        <f t="shared" si="422"/>
        <v/>
      </c>
      <c r="BC184" s="184" t="str">
        <f t="shared" si="423"/>
        <v/>
      </c>
      <c r="BD184" s="184" t="str">
        <f t="shared" si="424"/>
        <v/>
      </c>
      <c r="BE184" s="184" t="str">
        <f t="shared" si="425"/>
        <v/>
      </c>
      <c r="BF184" s="184" t="str">
        <f t="shared" si="426"/>
        <v/>
      </c>
      <c r="BG184" s="184" t="str">
        <f t="shared" si="427"/>
        <v/>
      </c>
      <c r="BH184" s="184" t="str">
        <f t="shared" si="428"/>
        <v/>
      </c>
      <c r="BI184" s="184" t="str">
        <f t="shared" si="429"/>
        <v/>
      </c>
      <c r="BJ184" s="184" t="str">
        <f t="shared" si="430"/>
        <v/>
      </c>
      <c r="BK184" s="184" t="str">
        <f t="shared" si="431"/>
        <v/>
      </c>
      <c r="BL184" s="184" t="str">
        <f t="shared" si="432"/>
        <v/>
      </c>
      <c r="BM184" s="184" t="str">
        <f t="shared" si="433"/>
        <v/>
      </c>
      <c r="BN184" s="184" t="str">
        <f t="shared" si="434"/>
        <v/>
      </c>
      <c r="BO184" s="184" t="str">
        <f t="shared" si="435"/>
        <v/>
      </c>
      <c r="BP184" s="184" t="str">
        <f t="shared" si="436"/>
        <v/>
      </c>
      <c r="BQ184" s="184" t="str">
        <f t="shared" si="437"/>
        <v/>
      </c>
      <c r="BR184" s="184" t="str">
        <f t="shared" si="438"/>
        <v/>
      </c>
      <c r="BS184" s="184" t="str">
        <f t="shared" si="438"/>
        <v/>
      </c>
      <c r="BT184" s="184" t="str">
        <f t="shared" si="438"/>
        <v/>
      </c>
      <c r="BU184" s="184" t="str">
        <f t="shared" si="439"/>
        <v/>
      </c>
      <c r="BV184" s="184" t="str">
        <f t="shared" si="440"/>
        <v/>
      </c>
      <c r="BW184" s="184" t="str">
        <f t="shared" si="441"/>
        <v/>
      </c>
      <c r="BX184" s="184" t="str">
        <f t="shared" si="442"/>
        <v/>
      </c>
      <c r="BY184" s="184" t="str">
        <f t="shared" si="443"/>
        <v/>
      </c>
      <c r="BZ184" s="184" t="str">
        <f t="shared" si="444"/>
        <v/>
      </c>
      <c r="CA184" s="184" t="str">
        <f t="shared" si="445"/>
        <v/>
      </c>
      <c r="CB184" s="184" t="str">
        <f t="shared" si="446"/>
        <v/>
      </c>
      <c r="CC184" s="184" t="str">
        <f t="shared" si="447"/>
        <v/>
      </c>
      <c r="CD184" s="184" t="str">
        <f t="shared" si="448"/>
        <v/>
      </c>
      <c r="CE184" s="184">
        <f t="shared" si="449"/>
        <v>1</v>
      </c>
      <c r="CF184" s="184" t="str">
        <f t="shared" si="450"/>
        <v/>
      </c>
      <c r="CG184" s="184" t="str">
        <f t="shared" si="451"/>
        <v/>
      </c>
      <c r="CH184" s="184" t="str">
        <f t="shared" si="452"/>
        <v/>
      </c>
      <c r="CI184" s="184" t="str">
        <f t="shared" si="453"/>
        <v/>
      </c>
      <c r="CJ184" s="184" t="str">
        <f t="shared" si="454"/>
        <v/>
      </c>
      <c r="CK184" s="184"/>
      <c r="CM184" s="184"/>
      <c r="CN184"/>
      <c r="CP184"/>
      <c r="CR184"/>
      <c r="CT184"/>
      <c r="CV184"/>
      <c r="CX184"/>
      <c r="CZ184"/>
      <c r="DB184"/>
      <c r="DD184"/>
      <c r="DF184"/>
      <c r="ED184" s="184"/>
      <c r="EF184" s="184"/>
      <c r="EH184" s="184"/>
      <c r="EJ184" s="184"/>
      <c r="EL184" s="184"/>
      <c r="EN184" s="184"/>
      <c r="EP184" s="184"/>
      <c r="ER184" s="184"/>
      <c r="ET184" s="184"/>
      <c r="EV184" s="184"/>
      <c r="EX184" s="184"/>
      <c r="EZ184" s="184"/>
      <c r="FB184" s="184"/>
    </row>
    <row r="185" spans="1:158">
      <c r="A185" s="184">
        <f t="shared" si="368"/>
        <v>22.5</v>
      </c>
      <c r="B185" s="18">
        <f t="shared" si="405"/>
        <v>7470</v>
      </c>
      <c r="C185" s="18">
        <f t="shared" si="401"/>
        <v>9843.3333333333267</v>
      </c>
      <c r="D185" s="18">
        <f t="shared" si="401"/>
        <v>13018.333333333327</v>
      </c>
      <c r="E185" s="18">
        <f t="shared" si="401"/>
        <v>14658.333333333327</v>
      </c>
      <c r="F185" s="18">
        <f t="shared" si="401"/>
        <v>7061.6666666666633</v>
      </c>
      <c r="G185" s="18">
        <f t="shared" si="401"/>
        <v>9271.6666666666733</v>
      </c>
      <c r="H185" s="18">
        <f t="shared" si="401"/>
        <v>13100</v>
      </c>
      <c r="I185" s="18">
        <f t="shared" si="401"/>
        <v>7388.3333333333367</v>
      </c>
      <c r="J185" s="18">
        <f t="shared" si="401"/>
        <v>9826.6666666666733</v>
      </c>
      <c r="K185" s="18">
        <f t="shared" si="401"/>
        <v>12528.333333333327</v>
      </c>
      <c r="L185" s="18">
        <f t="shared" si="401"/>
        <v>14903.333333333327</v>
      </c>
      <c r="M185" s="18">
        <f t="shared" si="401"/>
        <v>18126.666666666657</v>
      </c>
      <c r="N185" s="18">
        <f t="shared" si="401"/>
        <v>11405</v>
      </c>
      <c r="O185" s="18">
        <f t="shared" si="401"/>
        <v>13118.333333333327</v>
      </c>
      <c r="P185" s="18">
        <f t="shared" si="401"/>
        <v>17225</v>
      </c>
      <c r="Q185" s="18">
        <f t="shared" si="401"/>
        <v>19446.666666666653</v>
      </c>
      <c r="R185" s="18">
        <f t="shared" si="401"/>
        <v>26855</v>
      </c>
      <c r="S185" s="18">
        <f t="shared" si="401"/>
        <v>16691.666666666668</v>
      </c>
      <c r="T185" s="18">
        <f t="shared" si="401"/>
        <v>19405.833333333347</v>
      </c>
      <c r="U185" s="18">
        <f t="shared" si="401"/>
        <v>22667.406666666669</v>
      </c>
      <c r="V185" s="18">
        <f t="shared" si="401"/>
        <v>27356.400000000016</v>
      </c>
      <c r="W185" s="18">
        <f t="shared" si="401"/>
        <v>34347.480000000018</v>
      </c>
      <c r="X185" s="18">
        <f t="shared" si="401"/>
        <v>36404.099999999984</v>
      </c>
      <c r="Y185" s="18">
        <f t="shared" si="401"/>
        <v>45016.666666666693</v>
      </c>
      <c r="Z185" s="18">
        <f t="shared" si="402"/>
        <v>32762.666666666653</v>
      </c>
      <c r="AA185" s="18">
        <f t="shared" si="402"/>
        <v>41285.333333333307</v>
      </c>
      <c r="AB185" s="18">
        <f t="shared" si="402"/>
        <v>51986</v>
      </c>
      <c r="AC185" s="18">
        <f t="shared" si="403"/>
        <v>11305</v>
      </c>
      <c r="AD185" s="18">
        <f t="shared" si="403"/>
        <v>13263.333333333327</v>
      </c>
      <c r="AE185" s="18">
        <f t="shared" si="403"/>
        <v>14956.666666666673</v>
      </c>
      <c r="AF185" s="18">
        <f t="shared" si="403"/>
        <v>19100</v>
      </c>
      <c r="AG185" s="18">
        <f t="shared" si="403"/>
        <v>22078.333333333347</v>
      </c>
      <c r="AH185" s="18">
        <f t="shared" ref="AH185:AK185" si="457">AH184+(AH$234-AH$174)/60</f>
        <v>14426.666666666673</v>
      </c>
      <c r="AI185" s="18">
        <f t="shared" si="457"/>
        <v>16266.666666666673</v>
      </c>
      <c r="AJ185" s="18">
        <f t="shared" si="457"/>
        <v>21325</v>
      </c>
      <c r="AK185" s="18">
        <f t="shared" si="457"/>
        <v>24100</v>
      </c>
      <c r="AL185" s="18">
        <f t="shared" si="403"/>
        <v>22000</v>
      </c>
      <c r="AM185" s="18">
        <f t="shared" si="403"/>
        <v>25000</v>
      </c>
      <c r="AN185" s="18">
        <f t="shared" si="403"/>
        <v>28600</v>
      </c>
      <c r="AO185" s="18">
        <f t="shared" si="403"/>
        <v>45000</v>
      </c>
      <c r="AP185" s="18">
        <f t="shared" si="403"/>
        <v>48000</v>
      </c>
      <c r="AQ185" s="18">
        <f t="shared" si="403"/>
        <v>54000</v>
      </c>
      <c r="AR185" s="18">
        <f t="shared" si="403"/>
        <v>147200</v>
      </c>
      <c r="AS185" s="18">
        <f t="shared" si="412"/>
        <v>24456.521739130432</v>
      </c>
      <c r="AT185" s="184" t="str">
        <f t="shared" si="414"/>
        <v/>
      </c>
      <c r="AU185" s="184" t="str">
        <f t="shared" si="415"/>
        <v/>
      </c>
      <c r="AV185" s="184" t="str">
        <f t="shared" si="416"/>
        <v/>
      </c>
      <c r="AW185" s="184" t="str">
        <f t="shared" si="417"/>
        <v/>
      </c>
      <c r="AX185" s="184" t="str">
        <f t="shared" si="418"/>
        <v/>
      </c>
      <c r="AY185" s="184" t="str">
        <f t="shared" si="419"/>
        <v/>
      </c>
      <c r="AZ185" s="184" t="str">
        <f t="shared" si="420"/>
        <v/>
      </c>
      <c r="BA185" s="184" t="str">
        <f t="shared" si="421"/>
        <v/>
      </c>
      <c r="BB185" s="184" t="str">
        <f t="shared" si="422"/>
        <v/>
      </c>
      <c r="BC185" s="184" t="str">
        <f t="shared" si="423"/>
        <v/>
      </c>
      <c r="BD185" s="184" t="str">
        <f t="shared" si="424"/>
        <v/>
      </c>
      <c r="BE185" s="184" t="str">
        <f t="shared" si="425"/>
        <v/>
      </c>
      <c r="BF185" s="184" t="str">
        <f t="shared" si="426"/>
        <v/>
      </c>
      <c r="BG185" s="184" t="str">
        <f t="shared" si="427"/>
        <v/>
      </c>
      <c r="BH185" s="184" t="str">
        <f t="shared" si="428"/>
        <v/>
      </c>
      <c r="BI185" s="184" t="str">
        <f t="shared" si="429"/>
        <v/>
      </c>
      <c r="BJ185" s="184" t="str">
        <f t="shared" si="430"/>
        <v/>
      </c>
      <c r="BK185" s="184" t="str">
        <f t="shared" si="431"/>
        <v/>
      </c>
      <c r="BL185" s="184" t="str">
        <f t="shared" si="432"/>
        <v/>
      </c>
      <c r="BM185" s="184" t="str">
        <f t="shared" si="433"/>
        <v/>
      </c>
      <c r="BN185" s="184" t="str">
        <f t="shared" si="434"/>
        <v/>
      </c>
      <c r="BO185" s="184" t="str">
        <f t="shared" si="435"/>
        <v/>
      </c>
      <c r="BP185" s="184" t="str">
        <f t="shared" si="436"/>
        <v/>
      </c>
      <c r="BQ185" s="184" t="str">
        <f t="shared" si="437"/>
        <v/>
      </c>
      <c r="BR185" s="184" t="str">
        <f t="shared" si="438"/>
        <v/>
      </c>
      <c r="BS185" s="184" t="str">
        <f t="shared" si="438"/>
        <v/>
      </c>
      <c r="BT185" s="184" t="str">
        <f t="shared" si="438"/>
        <v/>
      </c>
      <c r="BU185" s="184" t="str">
        <f t="shared" si="439"/>
        <v/>
      </c>
      <c r="BV185" s="184" t="str">
        <f t="shared" si="440"/>
        <v/>
      </c>
      <c r="BW185" s="184" t="str">
        <f t="shared" si="441"/>
        <v/>
      </c>
      <c r="BX185" s="184" t="str">
        <f t="shared" si="442"/>
        <v/>
      </c>
      <c r="BY185" s="184" t="str">
        <f t="shared" si="443"/>
        <v/>
      </c>
      <c r="BZ185" s="184" t="str">
        <f t="shared" si="444"/>
        <v/>
      </c>
      <c r="CA185" s="184" t="str">
        <f t="shared" si="445"/>
        <v/>
      </c>
      <c r="CB185" s="184" t="str">
        <f t="shared" si="446"/>
        <v/>
      </c>
      <c r="CC185" s="184" t="str">
        <f t="shared" si="447"/>
        <v/>
      </c>
      <c r="CD185" s="184" t="str">
        <f t="shared" si="448"/>
        <v/>
      </c>
      <c r="CE185" s="184" t="str">
        <f t="shared" si="449"/>
        <v/>
      </c>
      <c r="CF185" s="184" t="str">
        <f t="shared" si="450"/>
        <v/>
      </c>
      <c r="CG185" s="184" t="str">
        <f t="shared" si="451"/>
        <v/>
      </c>
      <c r="CH185" s="184" t="str">
        <f t="shared" si="452"/>
        <v/>
      </c>
      <c r="CI185" s="184" t="str">
        <f t="shared" si="453"/>
        <v/>
      </c>
      <c r="CJ185" s="184" t="str">
        <f t="shared" si="454"/>
        <v/>
      </c>
      <c r="CK185" s="184"/>
      <c r="CM185" s="184"/>
      <c r="CN185"/>
      <c r="CP185"/>
      <c r="CR185"/>
      <c r="CT185"/>
      <c r="CV185"/>
      <c r="CX185"/>
      <c r="CZ185"/>
      <c r="DB185"/>
      <c r="DD185"/>
      <c r="DF185"/>
      <c r="ED185" s="184"/>
      <c r="EF185" s="184"/>
      <c r="EH185" s="184"/>
      <c r="EJ185" s="184"/>
      <c r="EL185" s="184"/>
      <c r="EN185" s="184"/>
      <c r="EP185" s="184"/>
      <c r="ER185" s="184"/>
      <c r="ET185" s="184"/>
      <c r="EV185" s="184"/>
      <c r="EX185" s="184"/>
      <c r="EZ185" s="184"/>
      <c r="FB185" s="184"/>
    </row>
    <row r="186" spans="1:158">
      <c r="A186" s="184">
        <f t="shared" si="368"/>
        <v>23</v>
      </c>
      <c r="B186" s="18">
        <f t="shared" si="405"/>
        <v>7540</v>
      </c>
      <c r="C186" s="18">
        <f t="shared" si="401"/>
        <v>9919.9999999999927</v>
      </c>
      <c r="D186" s="18">
        <f t="shared" si="401"/>
        <v>13119.999999999993</v>
      </c>
      <c r="E186" s="18">
        <f t="shared" ref="E186:E233" si="458">E185+(E$234-E$174)/60</f>
        <v>14799.999999999993</v>
      </c>
      <c r="F186" s="18">
        <f t="shared" ref="F186:F233" si="459">F185+(F$234-F$174)/60</f>
        <v>7139.9999999999964</v>
      </c>
      <c r="G186" s="18">
        <f t="shared" ref="G186:G233" si="460">G185+(G$234-G$174)/60</f>
        <v>9360.0000000000073</v>
      </c>
      <c r="H186" s="18">
        <f t="shared" ref="H186:H233" si="461">H185+(H$234-H$174)/60</f>
        <v>13200</v>
      </c>
      <c r="I186" s="18">
        <f t="shared" ref="I186:I233" si="462">I185+(I$234-I$174)/60</f>
        <v>7460.0000000000036</v>
      </c>
      <c r="J186" s="18">
        <f t="shared" ref="J186:J233" si="463">J185+(J$234-J$174)/60</f>
        <v>9920.0000000000073</v>
      </c>
      <c r="K186" s="18">
        <f t="shared" ref="K186:K233" si="464">K185+(K$234-K$174)/60</f>
        <v>12639.999999999993</v>
      </c>
      <c r="L186" s="18">
        <f t="shared" ref="L186:L233" si="465">L185+(L$234-L$174)/60</f>
        <v>15039.999999999993</v>
      </c>
      <c r="M186" s="18">
        <f t="shared" ref="M186:M233" si="466">M185+(M$234-M$174)/60</f>
        <v>18319.999999999989</v>
      </c>
      <c r="N186" s="18">
        <f t="shared" ref="N186:N233" si="467">N185+(N$234-N$174)/60</f>
        <v>11460</v>
      </c>
      <c r="O186" s="18">
        <f t="shared" ref="O186:O233" si="468">O185+(O$234-O$174)/60</f>
        <v>13219.999999999993</v>
      </c>
      <c r="P186" s="18">
        <f t="shared" ref="P186:P233" si="469">P185+(P$234-P$174)/60</f>
        <v>17300</v>
      </c>
      <c r="Q186" s="18">
        <f t="shared" ref="Q186:Q233" si="470">Q185+(Q$234-Q$174)/60</f>
        <v>19559.999999999985</v>
      </c>
      <c r="R186" s="18">
        <f t="shared" ref="R186:R233" si="471">R185+(R$234-R$174)/60</f>
        <v>27060</v>
      </c>
      <c r="S186" s="18">
        <f t="shared" ref="S186:S233" si="472">S185+(S$234-S$174)/60</f>
        <v>16800</v>
      </c>
      <c r="T186" s="18">
        <f t="shared" ref="T186:T233" si="473">T185+(T$234-T$174)/60</f>
        <v>19520.000000000015</v>
      </c>
      <c r="U186" s="18">
        <f t="shared" ref="U186:U233" si="474">U185+(U$234-U$174)/60</f>
        <v>22788.480000000003</v>
      </c>
      <c r="V186" s="18">
        <f t="shared" ref="V186:V233" si="475">V185+(V$234-V$174)/60</f>
        <v>27532.800000000017</v>
      </c>
      <c r="W186" s="18">
        <f t="shared" ref="W186:W233" si="476">W185+(W$234-W$174)/60</f>
        <v>34568.960000000021</v>
      </c>
      <c r="X186" s="18">
        <f t="shared" ref="X186:AC233" si="477">X185+(X$234-X$174)/60</f>
        <v>36763.199999999983</v>
      </c>
      <c r="Y186" s="18">
        <f t="shared" ref="Y186:Z233" si="478">Y185+(Y$234-Y$174)/60</f>
        <v>45200.000000000029</v>
      </c>
      <c r="Z186" s="18">
        <f t="shared" si="478"/>
        <v>32991.999999999985</v>
      </c>
      <c r="AA186" s="18">
        <f t="shared" ref="AA186:AB186" si="479">AA185+(AA$234-AA$174)/60</f>
        <v>41503.999999999971</v>
      </c>
      <c r="AB186" s="18">
        <f t="shared" si="479"/>
        <v>52272</v>
      </c>
      <c r="AC186" s="18">
        <f t="shared" si="477"/>
        <v>11360</v>
      </c>
      <c r="AD186" s="18">
        <f t="shared" ref="AD186:AR186" si="480">AD185+(AD$234-AD$174)/60</f>
        <v>13359.999999999993</v>
      </c>
      <c r="AE186" s="18">
        <f t="shared" si="480"/>
        <v>15080.000000000007</v>
      </c>
      <c r="AF186" s="18">
        <f t="shared" si="480"/>
        <v>19200</v>
      </c>
      <c r="AG186" s="18">
        <f t="shared" si="480"/>
        <v>22240.000000000015</v>
      </c>
      <c r="AH186" s="18">
        <f t="shared" ref="AH186:AK186" si="481">AH185+(AH$234-AH$174)/60</f>
        <v>14520.000000000007</v>
      </c>
      <c r="AI186" s="18">
        <f t="shared" si="481"/>
        <v>16400.000000000007</v>
      </c>
      <c r="AJ186" s="18">
        <f t="shared" si="481"/>
        <v>21400</v>
      </c>
      <c r="AK186" s="18">
        <f t="shared" si="481"/>
        <v>24200</v>
      </c>
      <c r="AL186" s="18">
        <f t="shared" si="480"/>
        <v>22000</v>
      </c>
      <c r="AM186" s="18">
        <f t="shared" si="480"/>
        <v>25000</v>
      </c>
      <c r="AN186" s="18">
        <f t="shared" si="480"/>
        <v>28600</v>
      </c>
      <c r="AO186" s="18">
        <f t="shared" si="480"/>
        <v>45000</v>
      </c>
      <c r="AP186" s="18">
        <f t="shared" si="480"/>
        <v>48000</v>
      </c>
      <c r="AQ186" s="18">
        <f t="shared" si="480"/>
        <v>54000</v>
      </c>
      <c r="AR186" s="18">
        <f t="shared" si="480"/>
        <v>147200</v>
      </c>
      <c r="AS186" s="18">
        <f t="shared" si="412"/>
        <v>24130.4347826087</v>
      </c>
      <c r="AT186" s="184" t="str">
        <f t="shared" si="414"/>
        <v/>
      </c>
      <c r="AU186" s="184" t="str">
        <f t="shared" si="415"/>
        <v/>
      </c>
      <c r="AV186" s="184" t="str">
        <f t="shared" si="416"/>
        <v/>
      </c>
      <c r="AW186" s="184" t="str">
        <f t="shared" si="417"/>
        <v/>
      </c>
      <c r="AX186" s="184" t="str">
        <f t="shared" si="418"/>
        <v/>
      </c>
      <c r="AY186" s="184" t="str">
        <f t="shared" si="419"/>
        <v/>
      </c>
      <c r="AZ186" s="184" t="str">
        <f t="shared" si="420"/>
        <v/>
      </c>
      <c r="BA186" s="184" t="str">
        <f t="shared" si="421"/>
        <v/>
      </c>
      <c r="BB186" s="184" t="str">
        <f t="shared" si="422"/>
        <v/>
      </c>
      <c r="BC186" s="184" t="str">
        <f t="shared" si="423"/>
        <v/>
      </c>
      <c r="BD186" s="184" t="str">
        <f t="shared" si="424"/>
        <v/>
      </c>
      <c r="BE186" s="184" t="str">
        <f t="shared" si="425"/>
        <v/>
      </c>
      <c r="BF186" s="184" t="str">
        <f t="shared" si="426"/>
        <v/>
      </c>
      <c r="BG186" s="184" t="str">
        <f t="shared" si="427"/>
        <v/>
      </c>
      <c r="BH186" s="184" t="str">
        <f t="shared" si="428"/>
        <v/>
      </c>
      <c r="BI186" s="184" t="str">
        <f t="shared" si="429"/>
        <v/>
      </c>
      <c r="BJ186" s="184" t="str">
        <f t="shared" si="430"/>
        <v/>
      </c>
      <c r="BK186" s="184" t="str">
        <f t="shared" si="431"/>
        <v/>
      </c>
      <c r="BL186" s="184" t="str">
        <f t="shared" si="432"/>
        <v/>
      </c>
      <c r="BM186" s="184" t="str">
        <f t="shared" si="433"/>
        <v/>
      </c>
      <c r="BN186" s="184" t="str">
        <f t="shared" si="434"/>
        <v/>
      </c>
      <c r="BO186" s="184" t="str">
        <f t="shared" si="435"/>
        <v/>
      </c>
      <c r="BP186" s="184" t="str">
        <f t="shared" si="436"/>
        <v/>
      </c>
      <c r="BQ186" s="184" t="str">
        <f t="shared" si="437"/>
        <v/>
      </c>
      <c r="BR186" s="184" t="str">
        <f t="shared" si="438"/>
        <v/>
      </c>
      <c r="BS186" s="184" t="str">
        <f t="shared" si="438"/>
        <v/>
      </c>
      <c r="BT186" s="184" t="str">
        <f t="shared" si="438"/>
        <v/>
      </c>
      <c r="BU186" s="184" t="str">
        <f t="shared" si="439"/>
        <v/>
      </c>
      <c r="BV186" s="184" t="str">
        <f t="shared" si="440"/>
        <v/>
      </c>
      <c r="BW186" s="184" t="str">
        <f t="shared" si="441"/>
        <v/>
      </c>
      <c r="BX186" s="184" t="str">
        <f t="shared" si="442"/>
        <v/>
      </c>
      <c r="BY186" s="184" t="str">
        <f t="shared" si="443"/>
        <v/>
      </c>
      <c r="BZ186" s="184" t="str">
        <f t="shared" si="444"/>
        <v/>
      </c>
      <c r="CA186" s="184" t="str">
        <f t="shared" si="445"/>
        <v/>
      </c>
      <c r="CB186" s="184" t="str">
        <f t="shared" si="446"/>
        <v/>
      </c>
      <c r="CC186" s="184">
        <f t="shared" si="447"/>
        <v>1</v>
      </c>
      <c r="CD186" s="184" t="str">
        <f t="shared" si="448"/>
        <v/>
      </c>
      <c r="CE186" s="184" t="str">
        <f t="shared" si="449"/>
        <v/>
      </c>
      <c r="CF186" s="184" t="str">
        <f t="shared" si="450"/>
        <v/>
      </c>
      <c r="CG186" s="184" t="str">
        <f t="shared" si="451"/>
        <v/>
      </c>
      <c r="CH186" s="184" t="str">
        <f t="shared" si="452"/>
        <v/>
      </c>
      <c r="CI186" s="184" t="str">
        <f t="shared" si="453"/>
        <v/>
      </c>
      <c r="CJ186" s="184" t="str">
        <f t="shared" si="454"/>
        <v/>
      </c>
      <c r="CK186" s="184"/>
      <c r="CM186" s="184"/>
      <c r="CN186"/>
      <c r="CP186"/>
      <c r="CR186"/>
      <c r="CT186"/>
      <c r="CV186"/>
      <c r="CX186"/>
      <c r="CZ186"/>
      <c r="DB186"/>
      <c r="DD186"/>
      <c r="DF186"/>
      <c r="ED186" s="184"/>
      <c r="EF186" s="184"/>
      <c r="EH186" s="184"/>
      <c r="EJ186" s="184"/>
      <c r="EL186" s="184"/>
      <c r="EN186" s="184"/>
      <c r="EP186" s="184"/>
      <c r="ER186" s="184"/>
      <c r="ET186" s="184"/>
      <c r="EV186" s="184"/>
      <c r="EX186" s="184"/>
      <c r="EZ186" s="184"/>
      <c r="FB186" s="184"/>
    </row>
    <row r="187" spans="1:158">
      <c r="A187" s="184">
        <f t="shared" si="368"/>
        <v>23.5</v>
      </c>
      <c r="B187" s="18">
        <f t="shared" si="405"/>
        <v>7610</v>
      </c>
      <c r="C187" s="18">
        <f t="shared" ref="C187:C233" si="482">C186+(C$234-C$174)/60</f>
        <v>9996.6666666666588</v>
      </c>
      <c r="D187" s="18">
        <f t="shared" ref="D187:D233" si="483">D186+(D$234-D$174)/60</f>
        <v>13221.666666666659</v>
      </c>
      <c r="E187" s="18">
        <f t="shared" si="458"/>
        <v>14941.666666666659</v>
      </c>
      <c r="F187" s="18">
        <f t="shared" si="459"/>
        <v>7218.3333333333294</v>
      </c>
      <c r="G187" s="18">
        <f t="shared" si="460"/>
        <v>9448.3333333333412</v>
      </c>
      <c r="H187" s="18">
        <f t="shared" si="461"/>
        <v>13300</v>
      </c>
      <c r="I187" s="18">
        <f t="shared" si="462"/>
        <v>7531.6666666666706</v>
      </c>
      <c r="J187" s="18">
        <f t="shared" si="463"/>
        <v>10013.333333333341</v>
      </c>
      <c r="K187" s="18">
        <f t="shared" si="464"/>
        <v>12751.666666666659</v>
      </c>
      <c r="L187" s="18">
        <f t="shared" si="465"/>
        <v>15176.666666666659</v>
      </c>
      <c r="M187" s="18">
        <f t="shared" si="466"/>
        <v>18513.333333333321</v>
      </c>
      <c r="N187" s="18">
        <f t="shared" si="467"/>
        <v>11515</v>
      </c>
      <c r="O187" s="18">
        <f t="shared" si="468"/>
        <v>13321.666666666659</v>
      </c>
      <c r="P187" s="18">
        <f t="shared" si="469"/>
        <v>17375</v>
      </c>
      <c r="Q187" s="18">
        <f t="shared" si="470"/>
        <v>19673.333333333318</v>
      </c>
      <c r="R187" s="18">
        <f t="shared" si="471"/>
        <v>27265</v>
      </c>
      <c r="S187" s="18">
        <f t="shared" si="472"/>
        <v>16908.333333333332</v>
      </c>
      <c r="T187" s="18">
        <f t="shared" si="473"/>
        <v>19634.166666666682</v>
      </c>
      <c r="U187" s="18">
        <f t="shared" si="474"/>
        <v>22909.553333333337</v>
      </c>
      <c r="V187" s="18">
        <f t="shared" si="475"/>
        <v>27709.200000000019</v>
      </c>
      <c r="W187" s="18">
        <f t="shared" si="476"/>
        <v>34790.440000000024</v>
      </c>
      <c r="X187" s="18">
        <f t="shared" si="477"/>
        <v>37122.299999999981</v>
      </c>
      <c r="Y187" s="18">
        <f t="shared" si="478"/>
        <v>45383.333333333365</v>
      </c>
      <c r="Z187" s="18">
        <f t="shared" si="478"/>
        <v>33221.333333333321</v>
      </c>
      <c r="AA187" s="18">
        <f t="shared" ref="AA187:AB187" si="484">AA186+(AA$234-AA$174)/60</f>
        <v>41722.666666666635</v>
      </c>
      <c r="AB187" s="18">
        <f t="shared" si="484"/>
        <v>52558</v>
      </c>
      <c r="AC187" s="18">
        <f t="shared" si="477"/>
        <v>11415</v>
      </c>
      <c r="AD187" s="18">
        <f t="shared" ref="AD187:AR187" si="485">AD186+(AD$234-AD$174)/60</f>
        <v>13456.666666666659</v>
      </c>
      <c r="AE187" s="18">
        <f t="shared" si="485"/>
        <v>15203.333333333341</v>
      </c>
      <c r="AF187" s="18">
        <f t="shared" si="485"/>
        <v>19300</v>
      </c>
      <c r="AG187" s="18">
        <f t="shared" si="485"/>
        <v>22401.666666666682</v>
      </c>
      <c r="AH187" s="18">
        <f t="shared" ref="AH187:AK187" si="486">AH186+(AH$234-AH$174)/60</f>
        <v>14613.333333333341</v>
      </c>
      <c r="AI187" s="18">
        <f t="shared" si="486"/>
        <v>16533.333333333339</v>
      </c>
      <c r="AJ187" s="18">
        <f t="shared" si="486"/>
        <v>21475</v>
      </c>
      <c r="AK187" s="18">
        <f t="shared" si="486"/>
        <v>24300</v>
      </c>
      <c r="AL187" s="18">
        <f t="shared" si="485"/>
        <v>22000</v>
      </c>
      <c r="AM187" s="18">
        <f t="shared" si="485"/>
        <v>25000</v>
      </c>
      <c r="AN187" s="18">
        <f t="shared" si="485"/>
        <v>28600</v>
      </c>
      <c r="AO187" s="18">
        <f t="shared" si="485"/>
        <v>45000</v>
      </c>
      <c r="AP187" s="18">
        <f t="shared" si="485"/>
        <v>48000</v>
      </c>
      <c r="AQ187" s="18">
        <f t="shared" si="485"/>
        <v>54000</v>
      </c>
      <c r="AR187" s="18">
        <f t="shared" si="485"/>
        <v>147200</v>
      </c>
      <c r="AS187" s="18">
        <f t="shared" si="412"/>
        <v>23804.347826086956</v>
      </c>
      <c r="AT187" s="184" t="str">
        <f t="shared" si="414"/>
        <v/>
      </c>
      <c r="AU187" s="184" t="str">
        <f t="shared" si="415"/>
        <v/>
      </c>
      <c r="AV187" s="184" t="str">
        <f t="shared" si="416"/>
        <v/>
      </c>
      <c r="AW187" s="184" t="str">
        <f t="shared" si="417"/>
        <v/>
      </c>
      <c r="AX187" s="184" t="str">
        <f t="shared" si="418"/>
        <v/>
      </c>
      <c r="AY187" s="184" t="str">
        <f t="shared" si="419"/>
        <v/>
      </c>
      <c r="AZ187" s="184" t="str">
        <f t="shared" si="420"/>
        <v/>
      </c>
      <c r="BA187" s="184" t="str">
        <f t="shared" si="421"/>
        <v/>
      </c>
      <c r="BB187" s="184" t="str">
        <f t="shared" si="422"/>
        <v/>
      </c>
      <c r="BC187" s="184" t="str">
        <f t="shared" si="423"/>
        <v/>
      </c>
      <c r="BD187" s="184" t="str">
        <f t="shared" si="424"/>
        <v/>
      </c>
      <c r="BE187" s="184" t="str">
        <f t="shared" si="425"/>
        <v/>
      </c>
      <c r="BF187" s="184" t="str">
        <f t="shared" si="426"/>
        <v/>
      </c>
      <c r="BG187" s="184" t="str">
        <f t="shared" si="427"/>
        <v/>
      </c>
      <c r="BH187" s="184" t="str">
        <f t="shared" si="428"/>
        <v/>
      </c>
      <c r="BI187" s="184" t="str">
        <f t="shared" si="429"/>
        <v/>
      </c>
      <c r="BJ187" s="184" t="str">
        <f t="shared" si="430"/>
        <v/>
      </c>
      <c r="BK187" s="184" t="str">
        <f t="shared" si="431"/>
        <v/>
      </c>
      <c r="BL187" s="184" t="str">
        <f t="shared" si="432"/>
        <v/>
      </c>
      <c r="BM187" s="184" t="str">
        <f t="shared" si="433"/>
        <v/>
      </c>
      <c r="BN187" s="184" t="str">
        <f t="shared" si="434"/>
        <v/>
      </c>
      <c r="BO187" s="184" t="str">
        <f t="shared" si="435"/>
        <v/>
      </c>
      <c r="BP187" s="184" t="str">
        <f t="shared" si="436"/>
        <v/>
      </c>
      <c r="BQ187" s="184" t="str">
        <f t="shared" si="437"/>
        <v/>
      </c>
      <c r="BR187" s="184" t="str">
        <f t="shared" si="438"/>
        <v/>
      </c>
      <c r="BS187" s="184" t="str">
        <f t="shared" si="438"/>
        <v/>
      </c>
      <c r="BT187" s="184" t="str">
        <f t="shared" si="438"/>
        <v/>
      </c>
      <c r="BU187" s="184" t="str">
        <f t="shared" si="439"/>
        <v/>
      </c>
      <c r="BV187" s="184" t="str">
        <f t="shared" si="440"/>
        <v/>
      </c>
      <c r="BW187" s="184" t="str">
        <f t="shared" si="441"/>
        <v/>
      </c>
      <c r="BX187" s="184" t="str">
        <f t="shared" si="442"/>
        <v/>
      </c>
      <c r="BY187" s="184" t="str">
        <f t="shared" si="443"/>
        <v/>
      </c>
      <c r="BZ187" s="184" t="str">
        <f t="shared" si="444"/>
        <v/>
      </c>
      <c r="CA187" s="184" t="str">
        <f t="shared" si="445"/>
        <v/>
      </c>
      <c r="CB187" s="184" t="str">
        <f t="shared" si="446"/>
        <v/>
      </c>
      <c r="CC187" s="184" t="str">
        <f t="shared" si="447"/>
        <v/>
      </c>
      <c r="CD187" s="184" t="str">
        <f t="shared" si="448"/>
        <v/>
      </c>
      <c r="CE187" s="184" t="str">
        <f t="shared" si="449"/>
        <v/>
      </c>
      <c r="CF187" s="184" t="str">
        <f t="shared" si="450"/>
        <v/>
      </c>
      <c r="CG187" s="184" t="str">
        <f t="shared" si="451"/>
        <v/>
      </c>
      <c r="CH187" s="184" t="str">
        <f t="shared" si="452"/>
        <v/>
      </c>
      <c r="CI187" s="184" t="str">
        <f t="shared" si="453"/>
        <v/>
      </c>
      <c r="CJ187" s="184" t="str">
        <f t="shared" si="454"/>
        <v/>
      </c>
      <c r="CK187" s="184"/>
      <c r="CM187" s="184"/>
      <c r="CN187"/>
      <c r="CP187"/>
      <c r="CR187"/>
      <c r="CT187"/>
      <c r="CV187"/>
      <c r="CX187"/>
      <c r="CZ187"/>
      <c r="DB187"/>
      <c r="DD187"/>
      <c r="DF187"/>
      <c r="ED187" s="184"/>
      <c r="EF187" s="184"/>
      <c r="EH187" s="184"/>
      <c r="EJ187" s="184"/>
      <c r="EL187" s="184"/>
      <c r="EN187" s="184"/>
      <c r="EP187" s="184"/>
      <c r="ER187" s="184"/>
      <c r="ET187" s="184"/>
      <c r="EV187" s="184"/>
      <c r="EX187" s="184"/>
      <c r="EZ187" s="184"/>
      <c r="FB187" s="184"/>
    </row>
    <row r="188" spans="1:158">
      <c r="A188" s="184">
        <f t="shared" si="368"/>
        <v>24</v>
      </c>
      <c r="B188" s="18">
        <f t="shared" si="405"/>
        <v>7680</v>
      </c>
      <c r="C188" s="18">
        <f t="shared" si="482"/>
        <v>10073.333333333325</v>
      </c>
      <c r="D188" s="18">
        <f t="shared" si="483"/>
        <v>13323.333333333325</v>
      </c>
      <c r="E188" s="18">
        <f t="shared" si="458"/>
        <v>15083.333333333325</v>
      </c>
      <c r="F188" s="18">
        <f t="shared" si="459"/>
        <v>7296.6666666666624</v>
      </c>
      <c r="G188" s="18">
        <f t="shared" si="460"/>
        <v>9536.6666666666752</v>
      </c>
      <c r="H188" s="18">
        <f t="shared" si="461"/>
        <v>13400</v>
      </c>
      <c r="I188" s="18">
        <f t="shared" si="462"/>
        <v>7603.3333333333376</v>
      </c>
      <c r="J188" s="18">
        <f t="shared" si="463"/>
        <v>10106.666666666675</v>
      </c>
      <c r="K188" s="18">
        <f t="shared" si="464"/>
        <v>12863.333333333325</v>
      </c>
      <c r="L188" s="18">
        <f t="shared" si="465"/>
        <v>15313.333333333325</v>
      </c>
      <c r="M188" s="18">
        <f t="shared" si="466"/>
        <v>18706.666666666653</v>
      </c>
      <c r="N188" s="18">
        <f t="shared" si="467"/>
        <v>11570</v>
      </c>
      <c r="O188" s="18">
        <f t="shared" si="468"/>
        <v>13423.333333333325</v>
      </c>
      <c r="P188" s="18">
        <f t="shared" si="469"/>
        <v>17450</v>
      </c>
      <c r="Q188" s="18">
        <f t="shared" si="470"/>
        <v>19786.66666666665</v>
      </c>
      <c r="R188" s="18">
        <f t="shared" si="471"/>
        <v>27470</v>
      </c>
      <c r="S188" s="18">
        <f t="shared" si="472"/>
        <v>17016.666666666664</v>
      </c>
      <c r="T188" s="18">
        <f t="shared" si="473"/>
        <v>19748.33333333335</v>
      </c>
      <c r="U188" s="18">
        <f t="shared" si="474"/>
        <v>23030.626666666671</v>
      </c>
      <c r="V188" s="18">
        <f t="shared" si="475"/>
        <v>27885.60000000002</v>
      </c>
      <c r="W188" s="18">
        <f t="shared" si="476"/>
        <v>35011.920000000027</v>
      </c>
      <c r="X188" s="18">
        <f t="shared" si="477"/>
        <v>37481.39999999998</v>
      </c>
      <c r="Y188" s="18">
        <f t="shared" si="478"/>
        <v>45566.666666666701</v>
      </c>
      <c r="Z188" s="18">
        <f t="shared" si="478"/>
        <v>33450.666666666657</v>
      </c>
      <c r="AA188" s="18">
        <f t="shared" ref="AA188:AB188" si="487">AA187+(AA$234-AA$174)/60</f>
        <v>41941.333333333299</v>
      </c>
      <c r="AB188" s="18">
        <f t="shared" si="487"/>
        <v>52844</v>
      </c>
      <c r="AC188" s="18">
        <f t="shared" si="477"/>
        <v>11470</v>
      </c>
      <c r="AD188" s="18">
        <f t="shared" ref="AD188:AR188" si="488">AD187+(AD$234-AD$174)/60</f>
        <v>13553.333333333325</v>
      </c>
      <c r="AE188" s="18">
        <f t="shared" si="488"/>
        <v>15326.666666666675</v>
      </c>
      <c r="AF188" s="18">
        <f t="shared" si="488"/>
        <v>19400</v>
      </c>
      <c r="AG188" s="18">
        <f t="shared" si="488"/>
        <v>22563.33333333335</v>
      </c>
      <c r="AH188" s="18">
        <f t="shared" ref="AH188:AK188" si="489">AH187+(AH$234-AH$174)/60</f>
        <v>14706.666666666675</v>
      </c>
      <c r="AI188" s="18">
        <f t="shared" si="489"/>
        <v>16666.666666666672</v>
      </c>
      <c r="AJ188" s="18">
        <f t="shared" si="489"/>
        <v>21550</v>
      </c>
      <c r="AK188" s="18">
        <f t="shared" si="489"/>
        <v>24400</v>
      </c>
      <c r="AL188" s="18">
        <f t="shared" si="488"/>
        <v>22000</v>
      </c>
      <c r="AM188" s="18">
        <f t="shared" si="488"/>
        <v>25000</v>
      </c>
      <c r="AN188" s="18">
        <f t="shared" si="488"/>
        <v>28600</v>
      </c>
      <c r="AO188" s="18">
        <f t="shared" si="488"/>
        <v>45000</v>
      </c>
      <c r="AP188" s="18">
        <f t="shared" si="488"/>
        <v>48000</v>
      </c>
      <c r="AQ188" s="18">
        <f t="shared" si="488"/>
        <v>54000</v>
      </c>
      <c r="AR188" s="18">
        <f t="shared" si="488"/>
        <v>147200</v>
      </c>
      <c r="AS188" s="18">
        <f t="shared" si="412"/>
        <v>23478.260869565216</v>
      </c>
      <c r="AT188" s="184" t="str">
        <f t="shared" si="414"/>
        <v/>
      </c>
      <c r="AU188" s="184" t="str">
        <f t="shared" si="415"/>
        <v/>
      </c>
      <c r="AV188" s="184" t="str">
        <f t="shared" si="416"/>
        <v/>
      </c>
      <c r="AW188" s="184" t="str">
        <f t="shared" si="417"/>
        <v/>
      </c>
      <c r="AX188" s="184" t="str">
        <f t="shared" si="418"/>
        <v/>
      </c>
      <c r="AY188" s="184" t="str">
        <f t="shared" si="419"/>
        <v/>
      </c>
      <c r="AZ188" s="184" t="str">
        <f t="shared" si="420"/>
        <v/>
      </c>
      <c r="BA188" s="184" t="str">
        <f t="shared" si="421"/>
        <v/>
      </c>
      <c r="BB188" s="184" t="str">
        <f t="shared" si="422"/>
        <v/>
      </c>
      <c r="BC188" s="184" t="str">
        <f t="shared" si="423"/>
        <v/>
      </c>
      <c r="BD188" s="184" t="str">
        <f t="shared" si="424"/>
        <v/>
      </c>
      <c r="BE188" s="184" t="str">
        <f t="shared" si="425"/>
        <v/>
      </c>
      <c r="BF188" s="184" t="str">
        <f t="shared" si="426"/>
        <v/>
      </c>
      <c r="BG188" s="184" t="str">
        <f t="shared" si="427"/>
        <v/>
      </c>
      <c r="BH188" s="184" t="str">
        <f t="shared" si="428"/>
        <v/>
      </c>
      <c r="BI188" s="184" t="str">
        <f t="shared" si="429"/>
        <v/>
      </c>
      <c r="BJ188" s="184" t="str">
        <f t="shared" si="430"/>
        <v/>
      </c>
      <c r="BK188" s="184" t="str">
        <f t="shared" si="431"/>
        <v/>
      </c>
      <c r="BL188" s="184" t="str">
        <f t="shared" si="432"/>
        <v/>
      </c>
      <c r="BM188" s="184" t="str">
        <f t="shared" si="433"/>
        <v/>
      </c>
      <c r="BN188" s="184" t="str">
        <f t="shared" si="434"/>
        <v/>
      </c>
      <c r="BO188" s="184" t="str">
        <f t="shared" si="435"/>
        <v/>
      </c>
      <c r="BP188" s="184" t="str">
        <f t="shared" si="436"/>
        <v/>
      </c>
      <c r="BQ188" s="184" t="str">
        <f t="shared" si="437"/>
        <v/>
      </c>
      <c r="BR188" s="184" t="str">
        <f t="shared" si="438"/>
        <v/>
      </c>
      <c r="BS188" s="184" t="str">
        <f t="shared" si="438"/>
        <v/>
      </c>
      <c r="BT188" s="184" t="str">
        <f t="shared" si="438"/>
        <v/>
      </c>
      <c r="BU188" s="184" t="str">
        <f t="shared" si="439"/>
        <v/>
      </c>
      <c r="BV188" s="184" t="str">
        <f t="shared" si="440"/>
        <v/>
      </c>
      <c r="BW188" s="184" t="str">
        <f t="shared" si="441"/>
        <v/>
      </c>
      <c r="BX188" s="184" t="str">
        <f t="shared" si="442"/>
        <v/>
      </c>
      <c r="BY188" s="184" t="str">
        <f t="shared" si="443"/>
        <v/>
      </c>
      <c r="BZ188" s="184" t="str">
        <f t="shared" si="444"/>
        <v/>
      </c>
      <c r="CA188" s="184" t="str">
        <f t="shared" si="445"/>
        <v/>
      </c>
      <c r="CB188" s="184" t="str">
        <f t="shared" si="446"/>
        <v/>
      </c>
      <c r="CC188" s="184" t="str">
        <f t="shared" si="447"/>
        <v/>
      </c>
      <c r="CD188" s="184" t="str">
        <f t="shared" si="448"/>
        <v/>
      </c>
      <c r="CE188" s="184" t="str">
        <f t="shared" si="449"/>
        <v/>
      </c>
      <c r="CF188" s="184" t="str">
        <f t="shared" si="450"/>
        <v/>
      </c>
      <c r="CG188" s="184" t="str">
        <f t="shared" si="451"/>
        <v/>
      </c>
      <c r="CH188" s="184" t="str">
        <f t="shared" si="452"/>
        <v/>
      </c>
      <c r="CI188" s="184" t="str">
        <f t="shared" si="453"/>
        <v/>
      </c>
      <c r="CJ188" s="184" t="str">
        <f t="shared" si="454"/>
        <v/>
      </c>
      <c r="CK188" s="184"/>
      <c r="CM188" s="184"/>
      <c r="CN188"/>
      <c r="CP188"/>
      <c r="CR188"/>
      <c r="CT188"/>
      <c r="CV188"/>
      <c r="CX188"/>
      <c r="CZ188"/>
      <c r="DB188"/>
      <c r="DD188"/>
      <c r="DF188"/>
      <c r="ED188" s="184"/>
      <c r="EF188" s="184"/>
      <c r="EH188" s="184"/>
      <c r="EJ188" s="184"/>
      <c r="EL188" s="184"/>
      <c r="EN188" s="184"/>
      <c r="EP188" s="184"/>
      <c r="ER188" s="184"/>
      <c r="ET188" s="184"/>
      <c r="EV188" s="184"/>
      <c r="EX188" s="184"/>
      <c r="EZ188" s="184"/>
      <c r="FB188" s="184"/>
    </row>
    <row r="189" spans="1:158">
      <c r="A189" s="184">
        <f t="shared" si="368"/>
        <v>24.5</v>
      </c>
      <c r="B189" s="18">
        <f t="shared" si="405"/>
        <v>7750</v>
      </c>
      <c r="C189" s="18">
        <f t="shared" si="482"/>
        <v>10149.999999999991</v>
      </c>
      <c r="D189" s="18">
        <f t="shared" si="483"/>
        <v>13424.999999999991</v>
      </c>
      <c r="E189" s="18">
        <f t="shared" si="458"/>
        <v>15224.999999999991</v>
      </c>
      <c r="F189" s="18">
        <f t="shared" si="459"/>
        <v>7374.9999999999955</v>
      </c>
      <c r="G189" s="18">
        <f t="shared" si="460"/>
        <v>9625.0000000000091</v>
      </c>
      <c r="H189" s="18">
        <f t="shared" si="461"/>
        <v>13500</v>
      </c>
      <c r="I189" s="18">
        <f t="shared" si="462"/>
        <v>7675.0000000000045</v>
      </c>
      <c r="J189" s="18">
        <f t="shared" si="463"/>
        <v>10200.000000000009</v>
      </c>
      <c r="K189" s="18">
        <f t="shared" si="464"/>
        <v>12974.999999999991</v>
      </c>
      <c r="L189" s="18">
        <f t="shared" si="465"/>
        <v>15449.999999999991</v>
      </c>
      <c r="M189" s="18">
        <f t="shared" si="466"/>
        <v>18899.999999999985</v>
      </c>
      <c r="N189" s="18">
        <f t="shared" si="467"/>
        <v>11625</v>
      </c>
      <c r="O189" s="18">
        <f t="shared" si="468"/>
        <v>13524.999999999991</v>
      </c>
      <c r="P189" s="18">
        <f t="shared" si="469"/>
        <v>17525</v>
      </c>
      <c r="Q189" s="18">
        <f t="shared" si="470"/>
        <v>19899.999999999982</v>
      </c>
      <c r="R189" s="18">
        <f t="shared" si="471"/>
        <v>27675</v>
      </c>
      <c r="S189" s="18">
        <f t="shared" si="472"/>
        <v>17124.999999999996</v>
      </c>
      <c r="T189" s="18">
        <f t="shared" si="473"/>
        <v>19862.500000000018</v>
      </c>
      <c r="U189" s="18">
        <f t="shared" si="474"/>
        <v>23151.700000000004</v>
      </c>
      <c r="V189" s="18">
        <f t="shared" si="475"/>
        <v>28062.000000000022</v>
      </c>
      <c r="W189" s="18">
        <f t="shared" si="476"/>
        <v>35233.400000000031</v>
      </c>
      <c r="X189" s="18">
        <f t="shared" si="477"/>
        <v>37840.499999999978</v>
      </c>
      <c r="Y189" s="18">
        <f t="shared" si="478"/>
        <v>45750.000000000036</v>
      </c>
      <c r="Z189" s="18">
        <f t="shared" si="478"/>
        <v>33679.999999999993</v>
      </c>
      <c r="AA189" s="18">
        <f t="shared" ref="AA189:AB189" si="490">AA188+(AA$234-AA$174)/60</f>
        <v>42159.999999999964</v>
      </c>
      <c r="AB189" s="18">
        <f t="shared" si="490"/>
        <v>53130</v>
      </c>
      <c r="AC189" s="18">
        <f t="shared" si="477"/>
        <v>11525</v>
      </c>
      <c r="AD189" s="18">
        <f t="shared" ref="AD189:AR189" si="491">AD188+(AD$234-AD$174)/60</f>
        <v>13649.999999999991</v>
      </c>
      <c r="AE189" s="18">
        <f t="shared" si="491"/>
        <v>15450.000000000009</v>
      </c>
      <c r="AF189" s="18">
        <f t="shared" si="491"/>
        <v>19500</v>
      </c>
      <c r="AG189" s="18">
        <f t="shared" si="491"/>
        <v>22725.000000000018</v>
      </c>
      <c r="AH189" s="18">
        <f t="shared" ref="AH189:AK189" si="492">AH188+(AH$234-AH$174)/60</f>
        <v>14800.000000000009</v>
      </c>
      <c r="AI189" s="18">
        <f t="shared" si="492"/>
        <v>16800.000000000004</v>
      </c>
      <c r="AJ189" s="18">
        <f t="shared" si="492"/>
        <v>21625</v>
      </c>
      <c r="AK189" s="18">
        <f t="shared" si="492"/>
        <v>24500</v>
      </c>
      <c r="AL189" s="18">
        <f t="shared" si="491"/>
        <v>22000</v>
      </c>
      <c r="AM189" s="18">
        <f t="shared" si="491"/>
        <v>25000</v>
      </c>
      <c r="AN189" s="18">
        <f t="shared" si="491"/>
        <v>28600</v>
      </c>
      <c r="AO189" s="18">
        <f t="shared" si="491"/>
        <v>45000</v>
      </c>
      <c r="AP189" s="18">
        <f t="shared" si="491"/>
        <v>48000</v>
      </c>
      <c r="AQ189" s="18">
        <f t="shared" si="491"/>
        <v>54000</v>
      </c>
      <c r="AR189" s="18">
        <f t="shared" si="491"/>
        <v>147200</v>
      </c>
      <c r="AS189" s="18">
        <f t="shared" si="412"/>
        <v>23152.173913043476</v>
      </c>
      <c r="AT189" s="184" t="str">
        <f t="shared" si="414"/>
        <v/>
      </c>
      <c r="AU189" s="184" t="str">
        <f t="shared" si="415"/>
        <v/>
      </c>
      <c r="AV189" s="184" t="str">
        <f t="shared" si="416"/>
        <v/>
      </c>
      <c r="AW189" s="184" t="str">
        <f t="shared" si="417"/>
        <v/>
      </c>
      <c r="AX189" s="184" t="str">
        <f t="shared" si="418"/>
        <v/>
      </c>
      <c r="AY189" s="184" t="str">
        <f t="shared" si="419"/>
        <v/>
      </c>
      <c r="AZ189" s="184" t="str">
        <f t="shared" si="420"/>
        <v/>
      </c>
      <c r="BA189" s="184" t="str">
        <f t="shared" si="421"/>
        <v/>
      </c>
      <c r="BB189" s="184" t="str">
        <f t="shared" si="422"/>
        <v/>
      </c>
      <c r="BC189" s="184" t="str">
        <f t="shared" si="423"/>
        <v/>
      </c>
      <c r="BD189" s="184" t="str">
        <f t="shared" si="424"/>
        <v/>
      </c>
      <c r="BE189" s="184" t="str">
        <f t="shared" si="425"/>
        <v/>
      </c>
      <c r="BF189" s="184" t="str">
        <f t="shared" si="426"/>
        <v/>
      </c>
      <c r="BG189" s="184" t="str">
        <f t="shared" si="427"/>
        <v/>
      </c>
      <c r="BH189" s="184" t="str">
        <f t="shared" si="428"/>
        <v/>
      </c>
      <c r="BI189" s="184" t="str">
        <f t="shared" si="429"/>
        <v/>
      </c>
      <c r="BJ189" s="184" t="str">
        <f t="shared" si="430"/>
        <v/>
      </c>
      <c r="BK189" s="184" t="str">
        <f t="shared" si="431"/>
        <v/>
      </c>
      <c r="BL189" s="184" t="str">
        <f t="shared" si="432"/>
        <v/>
      </c>
      <c r="BM189" s="184" t="str">
        <f t="shared" si="433"/>
        <v/>
      </c>
      <c r="BN189" s="184" t="str">
        <f t="shared" si="434"/>
        <v/>
      </c>
      <c r="BO189" s="184" t="str">
        <f t="shared" si="435"/>
        <v/>
      </c>
      <c r="BP189" s="184" t="str">
        <f t="shared" si="436"/>
        <v/>
      </c>
      <c r="BQ189" s="184" t="str">
        <f t="shared" si="437"/>
        <v/>
      </c>
      <c r="BR189" s="184" t="str">
        <f t="shared" si="438"/>
        <v/>
      </c>
      <c r="BS189" s="184" t="str">
        <f t="shared" si="438"/>
        <v/>
      </c>
      <c r="BT189" s="184" t="str">
        <f t="shared" si="438"/>
        <v/>
      </c>
      <c r="BU189" s="184" t="str">
        <f t="shared" si="439"/>
        <v/>
      </c>
      <c r="BV189" s="184" t="str">
        <f t="shared" si="440"/>
        <v/>
      </c>
      <c r="BW189" s="184" t="str">
        <f t="shared" si="441"/>
        <v/>
      </c>
      <c r="BX189" s="184" t="str">
        <f t="shared" si="442"/>
        <v/>
      </c>
      <c r="BY189" s="184" t="str">
        <f t="shared" si="443"/>
        <v/>
      </c>
      <c r="BZ189" s="184" t="str">
        <f t="shared" si="444"/>
        <v/>
      </c>
      <c r="CA189" s="184" t="str">
        <f t="shared" si="445"/>
        <v/>
      </c>
      <c r="CB189" s="184" t="str">
        <f t="shared" si="446"/>
        <v/>
      </c>
      <c r="CC189" s="184" t="str">
        <f t="shared" si="447"/>
        <v/>
      </c>
      <c r="CD189" s="184" t="str">
        <f t="shared" si="448"/>
        <v/>
      </c>
      <c r="CE189" s="184" t="str">
        <f t="shared" si="449"/>
        <v/>
      </c>
      <c r="CF189" s="184" t="str">
        <f t="shared" si="450"/>
        <v/>
      </c>
      <c r="CG189" s="184" t="str">
        <f t="shared" si="451"/>
        <v/>
      </c>
      <c r="CH189" s="184" t="str">
        <f t="shared" si="452"/>
        <v/>
      </c>
      <c r="CI189" s="184" t="str">
        <f t="shared" si="453"/>
        <v/>
      </c>
      <c r="CJ189" s="184" t="str">
        <f t="shared" si="454"/>
        <v/>
      </c>
      <c r="CK189" s="184"/>
      <c r="CM189" s="184"/>
      <c r="CN189"/>
      <c r="CP189"/>
      <c r="CR189"/>
      <c r="CT189"/>
      <c r="CV189"/>
      <c r="CX189"/>
      <c r="CZ189"/>
      <c r="DB189"/>
      <c r="DD189"/>
      <c r="DF189"/>
      <c r="ED189" s="184"/>
      <c r="EF189" s="184"/>
      <c r="EH189" s="184"/>
      <c r="EJ189" s="184"/>
      <c r="EL189" s="184"/>
      <c r="EN189" s="184"/>
      <c r="EP189" s="184"/>
      <c r="ER189" s="184"/>
      <c r="ET189" s="184"/>
      <c r="EV189" s="184"/>
      <c r="EX189" s="184"/>
      <c r="EZ189" s="184"/>
      <c r="FB189" s="184"/>
    </row>
    <row r="190" spans="1:158">
      <c r="A190" s="184">
        <f t="shared" si="368"/>
        <v>25</v>
      </c>
      <c r="B190" s="18">
        <f t="shared" si="405"/>
        <v>7820</v>
      </c>
      <c r="C190" s="18">
        <f t="shared" si="482"/>
        <v>10226.666666666657</v>
      </c>
      <c r="D190" s="18">
        <f t="shared" si="483"/>
        <v>13526.666666666657</v>
      </c>
      <c r="E190" s="18">
        <f t="shared" si="458"/>
        <v>15366.666666666657</v>
      </c>
      <c r="F190" s="18">
        <f t="shared" si="459"/>
        <v>7453.3333333333285</v>
      </c>
      <c r="G190" s="18">
        <f t="shared" si="460"/>
        <v>9713.333333333343</v>
      </c>
      <c r="H190" s="18">
        <f t="shared" si="461"/>
        <v>13600</v>
      </c>
      <c r="I190" s="18">
        <f t="shared" si="462"/>
        <v>7746.6666666666715</v>
      </c>
      <c r="J190" s="18">
        <f t="shared" si="463"/>
        <v>10293.333333333343</v>
      </c>
      <c r="K190" s="18">
        <f t="shared" si="464"/>
        <v>13086.666666666657</v>
      </c>
      <c r="L190" s="18">
        <f t="shared" si="465"/>
        <v>15586.666666666657</v>
      </c>
      <c r="M190" s="18">
        <f t="shared" si="466"/>
        <v>19093.333333333318</v>
      </c>
      <c r="N190" s="18">
        <f t="shared" si="467"/>
        <v>11680</v>
      </c>
      <c r="O190" s="18">
        <f t="shared" si="468"/>
        <v>13626.666666666657</v>
      </c>
      <c r="P190" s="18">
        <f t="shared" si="469"/>
        <v>17600</v>
      </c>
      <c r="Q190" s="18">
        <f t="shared" si="470"/>
        <v>20013.333333333314</v>
      </c>
      <c r="R190" s="18">
        <f t="shared" si="471"/>
        <v>27880</v>
      </c>
      <c r="S190" s="18">
        <f t="shared" si="472"/>
        <v>17233.333333333328</v>
      </c>
      <c r="T190" s="18">
        <f t="shared" si="473"/>
        <v>19976.666666666686</v>
      </c>
      <c r="U190" s="18">
        <f t="shared" si="474"/>
        <v>23272.773333333338</v>
      </c>
      <c r="V190" s="18">
        <f t="shared" si="475"/>
        <v>28238.400000000023</v>
      </c>
      <c r="W190" s="18">
        <f t="shared" si="476"/>
        <v>35454.880000000034</v>
      </c>
      <c r="X190" s="18">
        <f t="shared" si="477"/>
        <v>38199.599999999977</v>
      </c>
      <c r="Y190" s="18">
        <f t="shared" si="478"/>
        <v>45933.333333333372</v>
      </c>
      <c r="Z190" s="18">
        <f t="shared" si="478"/>
        <v>33909.333333333328</v>
      </c>
      <c r="AA190" s="18">
        <f t="shared" ref="AA190:AB190" si="493">AA189+(AA$234-AA$174)/60</f>
        <v>42378.666666666628</v>
      </c>
      <c r="AB190" s="18">
        <f t="shared" si="493"/>
        <v>53416</v>
      </c>
      <c r="AC190" s="18">
        <f t="shared" si="477"/>
        <v>11580</v>
      </c>
      <c r="AD190" s="18">
        <f t="shared" ref="AD190:AR190" si="494">AD189+(AD$234-AD$174)/60</f>
        <v>13746.666666666657</v>
      </c>
      <c r="AE190" s="18">
        <f t="shared" si="494"/>
        <v>15573.333333333343</v>
      </c>
      <c r="AF190" s="18">
        <f t="shared" si="494"/>
        <v>19600</v>
      </c>
      <c r="AG190" s="18">
        <f t="shared" si="494"/>
        <v>22886.666666666686</v>
      </c>
      <c r="AH190" s="18">
        <f t="shared" ref="AH190:AK190" si="495">AH189+(AH$234-AH$174)/60</f>
        <v>14893.333333333343</v>
      </c>
      <c r="AI190" s="18">
        <f t="shared" si="495"/>
        <v>16933.333333333336</v>
      </c>
      <c r="AJ190" s="18">
        <f t="shared" si="495"/>
        <v>21700</v>
      </c>
      <c r="AK190" s="18">
        <f t="shared" si="495"/>
        <v>24600</v>
      </c>
      <c r="AL190" s="18">
        <f t="shared" si="494"/>
        <v>22000</v>
      </c>
      <c r="AM190" s="18">
        <f t="shared" si="494"/>
        <v>25000</v>
      </c>
      <c r="AN190" s="18">
        <f t="shared" si="494"/>
        <v>28600</v>
      </c>
      <c r="AO190" s="18">
        <f t="shared" si="494"/>
        <v>45000</v>
      </c>
      <c r="AP190" s="18">
        <f t="shared" si="494"/>
        <v>48000</v>
      </c>
      <c r="AQ190" s="18">
        <f t="shared" si="494"/>
        <v>54000</v>
      </c>
      <c r="AR190" s="18">
        <f t="shared" si="494"/>
        <v>147200</v>
      </c>
      <c r="AS190" s="18">
        <f t="shared" si="412"/>
        <v>22826.08695652174</v>
      </c>
      <c r="AT190" s="184" t="str">
        <f t="shared" si="414"/>
        <v/>
      </c>
      <c r="AU190" s="184" t="str">
        <f t="shared" si="415"/>
        <v/>
      </c>
      <c r="AV190" s="184" t="str">
        <f t="shared" si="416"/>
        <v/>
      </c>
      <c r="AW190" s="184" t="str">
        <f t="shared" si="417"/>
        <v/>
      </c>
      <c r="AX190" s="184" t="str">
        <f t="shared" si="418"/>
        <v/>
      </c>
      <c r="AY190" s="184" t="str">
        <f t="shared" si="419"/>
        <v/>
      </c>
      <c r="AZ190" s="184" t="str">
        <f t="shared" si="420"/>
        <v/>
      </c>
      <c r="BA190" s="184" t="str">
        <f t="shared" si="421"/>
        <v/>
      </c>
      <c r="BB190" s="184" t="str">
        <f t="shared" si="422"/>
        <v/>
      </c>
      <c r="BC190" s="184" t="str">
        <f t="shared" si="423"/>
        <v/>
      </c>
      <c r="BD190" s="184" t="str">
        <f t="shared" si="424"/>
        <v/>
      </c>
      <c r="BE190" s="184" t="str">
        <f t="shared" si="425"/>
        <v/>
      </c>
      <c r="BF190" s="184" t="str">
        <f t="shared" si="426"/>
        <v/>
      </c>
      <c r="BG190" s="184" t="str">
        <f t="shared" si="427"/>
        <v/>
      </c>
      <c r="BH190" s="184" t="str">
        <f t="shared" si="428"/>
        <v/>
      </c>
      <c r="BI190" s="184" t="str">
        <f t="shared" si="429"/>
        <v/>
      </c>
      <c r="BJ190" s="184" t="str">
        <f t="shared" si="430"/>
        <v/>
      </c>
      <c r="BK190" s="184" t="str">
        <f t="shared" si="431"/>
        <v/>
      </c>
      <c r="BL190" s="184" t="str">
        <f t="shared" si="432"/>
        <v/>
      </c>
      <c r="BM190" s="184">
        <f t="shared" si="433"/>
        <v>1</v>
      </c>
      <c r="BN190" s="184" t="str">
        <f t="shared" si="434"/>
        <v/>
      </c>
      <c r="BO190" s="184" t="str">
        <f t="shared" si="435"/>
        <v/>
      </c>
      <c r="BP190" s="184" t="str">
        <f t="shared" si="436"/>
        <v/>
      </c>
      <c r="BQ190" s="184" t="str">
        <f t="shared" si="437"/>
        <v/>
      </c>
      <c r="BR190" s="184" t="str">
        <f t="shared" si="438"/>
        <v/>
      </c>
      <c r="BS190" s="184" t="str">
        <f t="shared" si="438"/>
        <v/>
      </c>
      <c r="BT190" s="184" t="str">
        <f t="shared" si="438"/>
        <v/>
      </c>
      <c r="BU190" s="184" t="str">
        <f t="shared" si="439"/>
        <v/>
      </c>
      <c r="BV190" s="184" t="str">
        <f t="shared" si="440"/>
        <v/>
      </c>
      <c r="BW190" s="184" t="str">
        <f t="shared" si="441"/>
        <v/>
      </c>
      <c r="BX190" s="184" t="str">
        <f t="shared" si="442"/>
        <v/>
      </c>
      <c r="BY190" s="184">
        <f t="shared" si="443"/>
        <v>1</v>
      </c>
      <c r="BZ190" s="184" t="str">
        <f t="shared" si="444"/>
        <v/>
      </c>
      <c r="CA190" s="184" t="str">
        <f t="shared" si="445"/>
        <v/>
      </c>
      <c r="CB190" s="184" t="str">
        <f t="shared" si="446"/>
        <v/>
      </c>
      <c r="CC190" s="184" t="str">
        <f t="shared" si="447"/>
        <v/>
      </c>
      <c r="CD190" s="184" t="str">
        <f t="shared" si="448"/>
        <v/>
      </c>
      <c r="CE190" s="184" t="str">
        <f t="shared" si="449"/>
        <v/>
      </c>
      <c r="CF190" s="184" t="str">
        <f t="shared" si="450"/>
        <v/>
      </c>
      <c r="CG190" s="184" t="str">
        <f t="shared" si="451"/>
        <v/>
      </c>
      <c r="CH190" s="184" t="str">
        <f t="shared" si="452"/>
        <v/>
      </c>
      <c r="CI190" s="184" t="str">
        <f t="shared" si="453"/>
        <v/>
      </c>
      <c r="CJ190" s="184" t="str">
        <f t="shared" si="454"/>
        <v/>
      </c>
      <c r="CK190" s="184"/>
      <c r="CM190" s="184"/>
      <c r="CN190"/>
      <c r="CP190"/>
      <c r="CR190"/>
      <c r="CT190"/>
      <c r="CV190"/>
      <c r="CX190"/>
      <c r="CZ190"/>
      <c r="DB190"/>
      <c r="DD190"/>
      <c r="DF190"/>
      <c r="ED190" s="184"/>
      <c r="EF190" s="184"/>
      <c r="EH190" s="184"/>
      <c r="EJ190" s="184"/>
      <c r="EL190" s="184"/>
      <c r="EN190" s="184"/>
      <c r="EP190" s="184"/>
      <c r="ER190" s="184"/>
      <c r="ET190" s="184"/>
      <c r="EV190" s="184"/>
      <c r="EX190" s="184"/>
      <c r="EZ190" s="184"/>
      <c r="FB190" s="184"/>
    </row>
    <row r="191" spans="1:158">
      <c r="A191" s="184">
        <f t="shared" si="368"/>
        <v>25.5</v>
      </c>
      <c r="B191" s="18">
        <f t="shared" si="405"/>
        <v>7890</v>
      </c>
      <c r="C191" s="18">
        <f t="shared" si="482"/>
        <v>10303.333333333323</v>
      </c>
      <c r="D191" s="18">
        <f t="shared" si="483"/>
        <v>13628.333333333323</v>
      </c>
      <c r="E191" s="18">
        <f t="shared" si="458"/>
        <v>15508.333333333323</v>
      </c>
      <c r="F191" s="18">
        <f t="shared" si="459"/>
        <v>7531.6666666666615</v>
      </c>
      <c r="G191" s="18">
        <f t="shared" si="460"/>
        <v>9801.666666666677</v>
      </c>
      <c r="H191" s="18">
        <f t="shared" si="461"/>
        <v>13700</v>
      </c>
      <c r="I191" s="18">
        <f t="shared" si="462"/>
        <v>7818.3333333333385</v>
      </c>
      <c r="J191" s="18">
        <f t="shared" si="463"/>
        <v>10386.666666666677</v>
      </c>
      <c r="K191" s="18">
        <f t="shared" si="464"/>
        <v>13198.333333333323</v>
      </c>
      <c r="L191" s="18">
        <f t="shared" si="465"/>
        <v>15723.333333333323</v>
      </c>
      <c r="M191" s="18">
        <f t="shared" si="466"/>
        <v>19286.66666666665</v>
      </c>
      <c r="N191" s="18">
        <f t="shared" si="467"/>
        <v>11735</v>
      </c>
      <c r="O191" s="18">
        <f t="shared" si="468"/>
        <v>13728.333333333323</v>
      </c>
      <c r="P191" s="18">
        <f t="shared" si="469"/>
        <v>17675</v>
      </c>
      <c r="Q191" s="18">
        <f t="shared" si="470"/>
        <v>20126.666666666646</v>
      </c>
      <c r="R191" s="18">
        <f t="shared" si="471"/>
        <v>28085</v>
      </c>
      <c r="S191" s="18">
        <f t="shared" si="472"/>
        <v>17341.666666666661</v>
      </c>
      <c r="T191" s="18">
        <f t="shared" si="473"/>
        <v>20090.833333333354</v>
      </c>
      <c r="U191" s="18">
        <f t="shared" si="474"/>
        <v>23393.846666666672</v>
      </c>
      <c r="V191" s="18">
        <f t="shared" si="475"/>
        <v>28414.800000000025</v>
      </c>
      <c r="W191" s="18">
        <f t="shared" si="476"/>
        <v>35676.360000000037</v>
      </c>
      <c r="X191" s="18">
        <f t="shared" si="477"/>
        <v>38558.699999999975</v>
      </c>
      <c r="Y191" s="18">
        <f t="shared" si="478"/>
        <v>46116.666666666708</v>
      </c>
      <c r="Z191" s="18">
        <f t="shared" si="478"/>
        <v>34138.666666666664</v>
      </c>
      <c r="AA191" s="18">
        <f t="shared" ref="AA191:AB191" si="496">AA190+(AA$234-AA$174)/60</f>
        <v>42597.333333333292</v>
      </c>
      <c r="AB191" s="18">
        <f t="shared" si="496"/>
        <v>53702</v>
      </c>
      <c r="AC191" s="18">
        <f t="shared" si="477"/>
        <v>11635</v>
      </c>
      <c r="AD191" s="18">
        <f t="shared" ref="AD191:AR191" si="497">AD190+(AD$234-AD$174)/60</f>
        <v>13843.333333333323</v>
      </c>
      <c r="AE191" s="18">
        <f t="shared" si="497"/>
        <v>15696.666666666677</v>
      </c>
      <c r="AF191" s="18">
        <f t="shared" si="497"/>
        <v>19700</v>
      </c>
      <c r="AG191" s="18">
        <f t="shared" si="497"/>
        <v>23048.333333333354</v>
      </c>
      <c r="AH191" s="18">
        <f t="shared" ref="AH191:AK191" si="498">AH190+(AH$234-AH$174)/60</f>
        <v>14986.666666666677</v>
      </c>
      <c r="AI191" s="18">
        <f t="shared" si="498"/>
        <v>17066.666666666668</v>
      </c>
      <c r="AJ191" s="18">
        <f t="shared" si="498"/>
        <v>21775</v>
      </c>
      <c r="AK191" s="18">
        <f t="shared" si="498"/>
        <v>24700</v>
      </c>
      <c r="AL191" s="18">
        <f t="shared" si="497"/>
        <v>22000</v>
      </c>
      <c r="AM191" s="18">
        <f t="shared" si="497"/>
        <v>25000</v>
      </c>
      <c r="AN191" s="18">
        <f t="shared" si="497"/>
        <v>28600</v>
      </c>
      <c r="AO191" s="18">
        <f t="shared" si="497"/>
        <v>45000</v>
      </c>
      <c r="AP191" s="18">
        <f t="shared" si="497"/>
        <v>48000</v>
      </c>
      <c r="AQ191" s="18">
        <f t="shared" si="497"/>
        <v>54000</v>
      </c>
      <c r="AR191" s="18">
        <f t="shared" si="497"/>
        <v>147200</v>
      </c>
      <c r="AS191" s="18">
        <f t="shared" si="412"/>
        <v>22500</v>
      </c>
      <c r="AT191" s="184" t="str">
        <f t="shared" si="414"/>
        <v/>
      </c>
      <c r="AU191" s="184" t="str">
        <f t="shared" si="415"/>
        <v/>
      </c>
      <c r="AV191" s="184" t="str">
        <f t="shared" si="416"/>
        <v/>
      </c>
      <c r="AW191" s="184" t="str">
        <f t="shared" si="417"/>
        <v/>
      </c>
      <c r="AX191" s="184" t="str">
        <f t="shared" si="418"/>
        <v/>
      </c>
      <c r="AY191" s="184" t="str">
        <f t="shared" si="419"/>
        <v/>
      </c>
      <c r="AZ191" s="184" t="str">
        <f t="shared" si="420"/>
        <v/>
      </c>
      <c r="BA191" s="184" t="str">
        <f t="shared" si="421"/>
        <v/>
      </c>
      <c r="BB191" s="184" t="str">
        <f t="shared" si="422"/>
        <v/>
      </c>
      <c r="BC191" s="184" t="str">
        <f t="shared" si="423"/>
        <v/>
      </c>
      <c r="BD191" s="184" t="str">
        <f t="shared" si="424"/>
        <v/>
      </c>
      <c r="BE191" s="184" t="str">
        <f t="shared" si="425"/>
        <v/>
      </c>
      <c r="BF191" s="184" t="str">
        <f t="shared" si="426"/>
        <v/>
      </c>
      <c r="BG191" s="184" t="str">
        <f t="shared" si="427"/>
        <v/>
      </c>
      <c r="BH191" s="184" t="str">
        <f t="shared" si="428"/>
        <v/>
      </c>
      <c r="BI191" s="184" t="str">
        <f t="shared" si="429"/>
        <v/>
      </c>
      <c r="BJ191" s="184" t="str">
        <f t="shared" si="430"/>
        <v/>
      </c>
      <c r="BK191" s="184" t="str">
        <f t="shared" si="431"/>
        <v/>
      </c>
      <c r="BL191" s="184" t="str">
        <f t="shared" si="432"/>
        <v/>
      </c>
      <c r="BM191" s="184" t="str">
        <f t="shared" si="433"/>
        <v/>
      </c>
      <c r="BN191" s="184" t="str">
        <f t="shared" si="434"/>
        <v/>
      </c>
      <c r="BO191" s="184" t="str">
        <f t="shared" si="435"/>
        <v/>
      </c>
      <c r="BP191" s="184" t="str">
        <f t="shared" si="436"/>
        <v/>
      </c>
      <c r="BQ191" s="184" t="str">
        <f t="shared" si="437"/>
        <v/>
      </c>
      <c r="BR191" s="184" t="str">
        <f t="shared" si="438"/>
        <v/>
      </c>
      <c r="BS191" s="184" t="str">
        <f t="shared" si="438"/>
        <v/>
      </c>
      <c r="BT191" s="184" t="str">
        <f t="shared" si="438"/>
        <v/>
      </c>
      <c r="BU191" s="184" t="str">
        <f t="shared" si="439"/>
        <v/>
      </c>
      <c r="BV191" s="184" t="str">
        <f t="shared" si="440"/>
        <v/>
      </c>
      <c r="BW191" s="184" t="str">
        <f t="shared" si="441"/>
        <v/>
      </c>
      <c r="BX191" s="184" t="str">
        <f t="shared" si="442"/>
        <v/>
      </c>
      <c r="BY191" s="184" t="str">
        <f t="shared" si="443"/>
        <v/>
      </c>
      <c r="BZ191" s="184" t="str">
        <f t="shared" si="444"/>
        <v/>
      </c>
      <c r="CA191" s="184" t="str">
        <f t="shared" si="445"/>
        <v/>
      </c>
      <c r="CB191" s="184" t="str">
        <f t="shared" si="446"/>
        <v/>
      </c>
      <c r="CC191" s="184" t="str">
        <f t="shared" si="447"/>
        <v/>
      </c>
      <c r="CD191" s="184" t="str">
        <f t="shared" si="448"/>
        <v/>
      </c>
      <c r="CE191" s="184" t="str">
        <f t="shared" si="449"/>
        <v/>
      </c>
      <c r="CF191" s="184" t="str">
        <f t="shared" si="450"/>
        <v/>
      </c>
      <c r="CG191" s="184" t="str">
        <f t="shared" si="451"/>
        <v/>
      </c>
      <c r="CH191" s="184" t="str">
        <f t="shared" si="452"/>
        <v/>
      </c>
      <c r="CI191" s="184" t="str">
        <f t="shared" si="453"/>
        <v/>
      </c>
      <c r="CJ191" s="184" t="str">
        <f t="shared" si="454"/>
        <v/>
      </c>
      <c r="CK191" s="184"/>
      <c r="CM191" s="184"/>
      <c r="CN191"/>
      <c r="CP191"/>
      <c r="CR191"/>
      <c r="CT191"/>
      <c r="CV191"/>
      <c r="CX191"/>
      <c r="CZ191"/>
      <c r="DB191"/>
      <c r="DD191"/>
      <c r="DF191"/>
      <c r="ED191" s="184"/>
      <c r="EF191" s="184"/>
      <c r="EH191" s="184"/>
      <c r="EJ191" s="184"/>
      <c r="EL191" s="184"/>
      <c r="EN191" s="184"/>
      <c r="EP191" s="184"/>
      <c r="ER191" s="184"/>
      <c r="ET191" s="184"/>
      <c r="EV191" s="184"/>
      <c r="EX191" s="184"/>
      <c r="EZ191" s="184"/>
      <c r="FB191" s="184"/>
    </row>
    <row r="192" spans="1:158">
      <c r="A192" s="184">
        <f t="shared" si="368"/>
        <v>26</v>
      </c>
      <c r="B192" s="18">
        <f t="shared" si="405"/>
        <v>7960</v>
      </c>
      <c r="C192" s="18">
        <f t="shared" si="482"/>
        <v>10379.999999999989</v>
      </c>
      <c r="D192" s="18">
        <f t="shared" si="483"/>
        <v>13729.999999999989</v>
      </c>
      <c r="E192" s="18">
        <f t="shared" si="458"/>
        <v>15649.999999999989</v>
      </c>
      <c r="F192" s="18">
        <f t="shared" si="459"/>
        <v>7609.9999999999945</v>
      </c>
      <c r="G192" s="18">
        <f t="shared" si="460"/>
        <v>9890.0000000000109</v>
      </c>
      <c r="H192" s="18">
        <f t="shared" si="461"/>
        <v>13800</v>
      </c>
      <c r="I192" s="18">
        <f t="shared" si="462"/>
        <v>7890.0000000000055</v>
      </c>
      <c r="J192" s="18">
        <f t="shared" si="463"/>
        <v>10480.000000000011</v>
      </c>
      <c r="K192" s="18">
        <f t="shared" si="464"/>
        <v>13309.999999999989</v>
      </c>
      <c r="L192" s="18">
        <f t="shared" si="465"/>
        <v>15859.999999999989</v>
      </c>
      <c r="M192" s="18">
        <f t="shared" si="466"/>
        <v>19479.999999999982</v>
      </c>
      <c r="N192" s="18">
        <f t="shared" si="467"/>
        <v>11790</v>
      </c>
      <c r="O192" s="18">
        <f t="shared" si="468"/>
        <v>13829.999999999989</v>
      </c>
      <c r="P192" s="18">
        <f t="shared" si="469"/>
        <v>17750</v>
      </c>
      <c r="Q192" s="18">
        <f t="shared" si="470"/>
        <v>20239.999999999978</v>
      </c>
      <c r="R192" s="18">
        <f t="shared" si="471"/>
        <v>28290</v>
      </c>
      <c r="S192" s="18">
        <f t="shared" si="472"/>
        <v>17449.999999999993</v>
      </c>
      <c r="T192" s="18">
        <f t="shared" si="473"/>
        <v>20205.000000000022</v>
      </c>
      <c r="U192" s="18">
        <f t="shared" si="474"/>
        <v>23514.920000000006</v>
      </c>
      <c r="V192" s="18">
        <f t="shared" si="475"/>
        <v>28591.200000000026</v>
      </c>
      <c r="W192" s="18">
        <f t="shared" si="476"/>
        <v>35897.84000000004</v>
      </c>
      <c r="X192" s="18">
        <f t="shared" si="477"/>
        <v>38917.799999999974</v>
      </c>
      <c r="Y192" s="18">
        <f t="shared" si="478"/>
        <v>46300.000000000044</v>
      </c>
      <c r="Z192" s="18">
        <f t="shared" si="478"/>
        <v>34368</v>
      </c>
      <c r="AA192" s="18">
        <f t="shared" ref="AA192:AB192" si="499">AA191+(AA$234-AA$174)/60</f>
        <v>42815.999999999956</v>
      </c>
      <c r="AB192" s="18">
        <f t="shared" si="499"/>
        <v>53988</v>
      </c>
      <c r="AC192" s="18">
        <f t="shared" si="477"/>
        <v>11690</v>
      </c>
      <c r="AD192" s="18">
        <f t="shared" ref="AD192:AR192" si="500">AD191+(AD$234-AD$174)/60</f>
        <v>13939.999999999989</v>
      </c>
      <c r="AE192" s="18">
        <f t="shared" si="500"/>
        <v>15820.000000000011</v>
      </c>
      <c r="AF192" s="18">
        <f t="shared" si="500"/>
        <v>19800</v>
      </c>
      <c r="AG192" s="18">
        <f t="shared" si="500"/>
        <v>23210.000000000022</v>
      </c>
      <c r="AH192" s="18">
        <f t="shared" ref="AH192:AK192" si="501">AH191+(AH$234-AH$174)/60</f>
        <v>15080.000000000011</v>
      </c>
      <c r="AI192" s="18">
        <f t="shared" si="501"/>
        <v>17200</v>
      </c>
      <c r="AJ192" s="18">
        <f t="shared" si="501"/>
        <v>21850</v>
      </c>
      <c r="AK192" s="18">
        <f t="shared" si="501"/>
        <v>24800</v>
      </c>
      <c r="AL192" s="18">
        <f t="shared" si="500"/>
        <v>22000</v>
      </c>
      <c r="AM192" s="18">
        <f t="shared" si="500"/>
        <v>25000</v>
      </c>
      <c r="AN192" s="18">
        <f t="shared" si="500"/>
        <v>28600</v>
      </c>
      <c r="AO192" s="18">
        <f t="shared" si="500"/>
        <v>45000</v>
      </c>
      <c r="AP192" s="18">
        <f t="shared" si="500"/>
        <v>48000</v>
      </c>
      <c r="AQ192" s="18">
        <f t="shared" si="500"/>
        <v>54000</v>
      </c>
      <c r="AR192" s="18">
        <f t="shared" si="500"/>
        <v>147200</v>
      </c>
      <c r="AS192" s="18">
        <f t="shared" si="412"/>
        <v>22173.913043478264</v>
      </c>
      <c r="AT192" s="184" t="str">
        <f t="shared" si="414"/>
        <v/>
      </c>
      <c r="AU192" s="184" t="str">
        <f t="shared" si="415"/>
        <v/>
      </c>
      <c r="AV192" s="184" t="str">
        <f t="shared" si="416"/>
        <v/>
      </c>
      <c r="AW192" s="184" t="str">
        <f t="shared" si="417"/>
        <v/>
      </c>
      <c r="AX192" s="184" t="str">
        <f t="shared" si="418"/>
        <v/>
      </c>
      <c r="AY192" s="184" t="str">
        <f t="shared" si="419"/>
        <v/>
      </c>
      <c r="AZ192" s="184" t="str">
        <f t="shared" si="420"/>
        <v/>
      </c>
      <c r="BA192" s="184" t="str">
        <f t="shared" si="421"/>
        <v/>
      </c>
      <c r="BB192" s="184" t="str">
        <f t="shared" si="422"/>
        <v/>
      </c>
      <c r="BC192" s="184" t="str">
        <f t="shared" si="423"/>
        <v/>
      </c>
      <c r="BD192" s="184" t="str">
        <f t="shared" si="424"/>
        <v/>
      </c>
      <c r="BE192" s="184" t="str">
        <f t="shared" si="425"/>
        <v/>
      </c>
      <c r="BF192" s="184" t="str">
        <f t="shared" si="426"/>
        <v/>
      </c>
      <c r="BG192" s="184" t="str">
        <f t="shared" si="427"/>
        <v/>
      </c>
      <c r="BH192" s="184" t="str">
        <f t="shared" si="428"/>
        <v/>
      </c>
      <c r="BI192" s="184" t="str">
        <f t="shared" si="429"/>
        <v/>
      </c>
      <c r="BJ192" s="184" t="str">
        <f t="shared" si="430"/>
        <v/>
      </c>
      <c r="BK192" s="184" t="str">
        <f t="shared" si="431"/>
        <v/>
      </c>
      <c r="BL192" s="184" t="str">
        <f t="shared" si="432"/>
        <v/>
      </c>
      <c r="BM192" s="184" t="str">
        <f t="shared" si="433"/>
        <v/>
      </c>
      <c r="BN192" s="184" t="str">
        <f t="shared" si="434"/>
        <v/>
      </c>
      <c r="BO192" s="184" t="str">
        <f t="shared" si="435"/>
        <v/>
      </c>
      <c r="BP192" s="184" t="str">
        <f t="shared" si="436"/>
        <v/>
      </c>
      <c r="BQ192" s="184" t="str">
        <f t="shared" si="437"/>
        <v/>
      </c>
      <c r="BR192" s="184" t="str">
        <f t="shared" si="438"/>
        <v/>
      </c>
      <c r="BS192" s="184" t="str">
        <f t="shared" si="438"/>
        <v/>
      </c>
      <c r="BT192" s="184" t="str">
        <f t="shared" si="438"/>
        <v/>
      </c>
      <c r="BU192" s="184" t="str">
        <f t="shared" si="439"/>
        <v/>
      </c>
      <c r="BV192" s="184" t="str">
        <f t="shared" si="440"/>
        <v/>
      </c>
      <c r="BW192" s="184" t="str">
        <f t="shared" si="441"/>
        <v/>
      </c>
      <c r="BX192" s="184" t="str">
        <f t="shared" si="442"/>
        <v/>
      </c>
      <c r="BY192" s="184" t="str">
        <f t="shared" si="443"/>
        <v/>
      </c>
      <c r="BZ192" s="184" t="str">
        <f t="shared" si="444"/>
        <v/>
      </c>
      <c r="CA192" s="184" t="str">
        <f t="shared" si="445"/>
        <v/>
      </c>
      <c r="CB192" s="184" t="str">
        <f t="shared" si="446"/>
        <v/>
      </c>
      <c r="CC192" s="184" t="str">
        <f t="shared" si="447"/>
        <v/>
      </c>
      <c r="CD192" s="184" t="str">
        <f t="shared" si="448"/>
        <v/>
      </c>
      <c r="CE192" s="184" t="str">
        <f t="shared" si="449"/>
        <v/>
      </c>
      <c r="CF192" s="184" t="str">
        <f t="shared" si="450"/>
        <v/>
      </c>
      <c r="CG192" s="184" t="str">
        <f t="shared" si="451"/>
        <v/>
      </c>
      <c r="CH192" s="184" t="str">
        <f t="shared" si="452"/>
        <v/>
      </c>
      <c r="CI192" s="184" t="str">
        <f t="shared" si="453"/>
        <v/>
      </c>
      <c r="CJ192" s="184" t="str">
        <f t="shared" si="454"/>
        <v/>
      </c>
      <c r="CK192" s="184"/>
      <c r="CM192" s="184"/>
      <c r="CN192"/>
      <c r="CP192"/>
      <c r="CR192"/>
      <c r="CT192"/>
      <c r="CV192"/>
      <c r="CX192"/>
      <c r="CZ192"/>
      <c r="DB192"/>
      <c r="DD192"/>
      <c r="DF192"/>
      <c r="ED192" s="184"/>
      <c r="EF192" s="184"/>
      <c r="EH192" s="184"/>
      <c r="EJ192" s="184"/>
      <c r="EL192" s="184"/>
      <c r="EN192" s="184"/>
      <c r="EP192" s="184"/>
      <c r="ER192" s="184"/>
      <c r="ET192" s="184"/>
      <c r="EV192" s="184"/>
      <c r="EX192" s="184"/>
      <c r="EZ192" s="184"/>
      <c r="FB192" s="184"/>
    </row>
    <row r="193" spans="1:158">
      <c r="A193" s="184">
        <f t="shared" si="368"/>
        <v>26.5</v>
      </c>
      <c r="B193" s="18">
        <f t="shared" si="405"/>
        <v>8030</v>
      </c>
      <c r="C193" s="18">
        <f t="shared" si="482"/>
        <v>10456.666666666655</v>
      </c>
      <c r="D193" s="18">
        <f t="shared" si="483"/>
        <v>13831.666666666655</v>
      </c>
      <c r="E193" s="18">
        <f t="shared" si="458"/>
        <v>15791.666666666655</v>
      </c>
      <c r="F193" s="18">
        <f t="shared" si="459"/>
        <v>7688.3333333333276</v>
      </c>
      <c r="G193" s="18">
        <f t="shared" si="460"/>
        <v>9978.3333333333449</v>
      </c>
      <c r="H193" s="18">
        <f t="shared" si="461"/>
        <v>13900</v>
      </c>
      <c r="I193" s="18">
        <f t="shared" si="462"/>
        <v>7961.6666666666724</v>
      </c>
      <c r="J193" s="18">
        <f t="shared" si="463"/>
        <v>10573.333333333345</v>
      </c>
      <c r="K193" s="18">
        <f t="shared" si="464"/>
        <v>13421.666666666655</v>
      </c>
      <c r="L193" s="18">
        <f t="shared" si="465"/>
        <v>15996.666666666655</v>
      </c>
      <c r="M193" s="18">
        <f t="shared" si="466"/>
        <v>19673.333333333314</v>
      </c>
      <c r="N193" s="18">
        <f t="shared" si="467"/>
        <v>11845</v>
      </c>
      <c r="O193" s="18">
        <f t="shared" si="468"/>
        <v>13931.666666666655</v>
      </c>
      <c r="P193" s="18">
        <f t="shared" si="469"/>
        <v>17825</v>
      </c>
      <c r="Q193" s="18">
        <f t="shared" si="470"/>
        <v>20353.33333333331</v>
      </c>
      <c r="R193" s="18">
        <f t="shared" si="471"/>
        <v>28495</v>
      </c>
      <c r="S193" s="18">
        <f t="shared" si="472"/>
        <v>17558.333333333325</v>
      </c>
      <c r="T193" s="18">
        <f t="shared" si="473"/>
        <v>20319.16666666669</v>
      </c>
      <c r="U193" s="18">
        <f t="shared" si="474"/>
        <v>23635.993333333339</v>
      </c>
      <c r="V193" s="18">
        <f t="shared" si="475"/>
        <v>28767.600000000028</v>
      </c>
      <c r="W193" s="18">
        <f t="shared" si="476"/>
        <v>36119.320000000043</v>
      </c>
      <c r="X193" s="18">
        <f t="shared" si="477"/>
        <v>39276.899999999972</v>
      </c>
      <c r="Y193" s="18">
        <f t="shared" si="478"/>
        <v>46483.333333333379</v>
      </c>
      <c r="Z193" s="18">
        <f t="shared" si="478"/>
        <v>34597.333333333336</v>
      </c>
      <c r="AA193" s="18">
        <f t="shared" ref="AA193:AB193" si="502">AA192+(AA$234-AA$174)/60</f>
        <v>43034.666666666621</v>
      </c>
      <c r="AB193" s="18">
        <f t="shared" si="502"/>
        <v>54274</v>
      </c>
      <c r="AC193" s="18">
        <f t="shared" si="477"/>
        <v>11745</v>
      </c>
      <c r="AD193" s="18">
        <f t="shared" ref="AD193:AR193" si="503">AD192+(AD$234-AD$174)/60</f>
        <v>14036.666666666655</v>
      </c>
      <c r="AE193" s="18">
        <f t="shared" si="503"/>
        <v>15943.333333333345</v>
      </c>
      <c r="AF193" s="18">
        <f t="shared" si="503"/>
        <v>19900</v>
      </c>
      <c r="AG193" s="18">
        <f t="shared" si="503"/>
        <v>23371.66666666669</v>
      </c>
      <c r="AH193" s="18">
        <f t="shared" ref="AH193:AK193" si="504">AH192+(AH$234-AH$174)/60</f>
        <v>15173.333333333345</v>
      </c>
      <c r="AI193" s="18">
        <f t="shared" si="504"/>
        <v>17333.333333333332</v>
      </c>
      <c r="AJ193" s="18">
        <f t="shared" si="504"/>
        <v>21925</v>
      </c>
      <c r="AK193" s="18">
        <f t="shared" si="504"/>
        <v>24900</v>
      </c>
      <c r="AL193" s="18">
        <f t="shared" si="503"/>
        <v>22000</v>
      </c>
      <c r="AM193" s="18">
        <f t="shared" si="503"/>
        <v>25000</v>
      </c>
      <c r="AN193" s="18">
        <f t="shared" si="503"/>
        <v>28600</v>
      </c>
      <c r="AO193" s="18">
        <f t="shared" si="503"/>
        <v>45000</v>
      </c>
      <c r="AP193" s="18">
        <f t="shared" si="503"/>
        <v>48000</v>
      </c>
      <c r="AQ193" s="18">
        <f t="shared" si="503"/>
        <v>54000</v>
      </c>
      <c r="AR193" s="18">
        <f t="shared" si="503"/>
        <v>147200</v>
      </c>
      <c r="AS193" s="18">
        <f t="shared" si="412"/>
        <v>21847.82608695652</v>
      </c>
      <c r="AT193" s="184" t="str">
        <f t="shared" si="414"/>
        <v/>
      </c>
      <c r="AU193" s="184" t="str">
        <f t="shared" si="415"/>
        <v/>
      </c>
      <c r="AV193" s="184" t="str">
        <f t="shared" si="416"/>
        <v/>
      </c>
      <c r="AW193" s="184" t="str">
        <f t="shared" si="417"/>
        <v/>
      </c>
      <c r="AX193" s="184" t="str">
        <f t="shared" si="418"/>
        <v/>
      </c>
      <c r="AY193" s="184" t="str">
        <f t="shared" si="419"/>
        <v/>
      </c>
      <c r="AZ193" s="184" t="str">
        <f t="shared" si="420"/>
        <v/>
      </c>
      <c r="BA193" s="184" t="str">
        <f t="shared" si="421"/>
        <v/>
      </c>
      <c r="BB193" s="184" t="str">
        <f t="shared" si="422"/>
        <v/>
      </c>
      <c r="BC193" s="184" t="str">
        <f t="shared" si="423"/>
        <v/>
      </c>
      <c r="BD193" s="184" t="str">
        <f t="shared" si="424"/>
        <v/>
      </c>
      <c r="BE193" s="184" t="str">
        <f t="shared" si="425"/>
        <v/>
      </c>
      <c r="BF193" s="184" t="str">
        <f t="shared" si="426"/>
        <v/>
      </c>
      <c r="BG193" s="184" t="str">
        <f t="shared" si="427"/>
        <v/>
      </c>
      <c r="BH193" s="184" t="str">
        <f t="shared" si="428"/>
        <v/>
      </c>
      <c r="BI193" s="184" t="str">
        <f t="shared" si="429"/>
        <v/>
      </c>
      <c r="BJ193" s="184" t="str">
        <f t="shared" si="430"/>
        <v/>
      </c>
      <c r="BK193" s="184" t="str">
        <f t="shared" si="431"/>
        <v/>
      </c>
      <c r="BL193" s="184" t="str">
        <f t="shared" si="432"/>
        <v/>
      </c>
      <c r="BM193" s="184" t="str">
        <f t="shared" si="433"/>
        <v/>
      </c>
      <c r="BN193" s="184" t="str">
        <f t="shared" si="434"/>
        <v/>
      </c>
      <c r="BO193" s="184" t="str">
        <f t="shared" si="435"/>
        <v/>
      </c>
      <c r="BP193" s="184" t="str">
        <f t="shared" si="436"/>
        <v/>
      </c>
      <c r="BQ193" s="184" t="str">
        <f t="shared" si="437"/>
        <v/>
      </c>
      <c r="BR193" s="184" t="str">
        <f t="shared" si="438"/>
        <v/>
      </c>
      <c r="BS193" s="184" t="str">
        <f t="shared" si="438"/>
        <v/>
      </c>
      <c r="BT193" s="184" t="str">
        <f t="shared" si="438"/>
        <v/>
      </c>
      <c r="BU193" s="184" t="str">
        <f t="shared" si="439"/>
        <v/>
      </c>
      <c r="BV193" s="184" t="str">
        <f t="shared" si="440"/>
        <v/>
      </c>
      <c r="BW193" s="184" t="str">
        <f t="shared" si="441"/>
        <v/>
      </c>
      <c r="BX193" s="184" t="str">
        <f t="shared" si="442"/>
        <v/>
      </c>
      <c r="BY193" s="184" t="str">
        <f t="shared" si="443"/>
        <v/>
      </c>
      <c r="BZ193" s="184" t="str">
        <f t="shared" si="444"/>
        <v/>
      </c>
      <c r="CA193" s="184" t="str">
        <f t="shared" si="445"/>
        <v/>
      </c>
      <c r="CB193" s="184">
        <f t="shared" si="446"/>
        <v>1</v>
      </c>
      <c r="CC193" s="184" t="str">
        <f t="shared" si="447"/>
        <v/>
      </c>
      <c r="CD193" s="184">
        <f t="shared" si="448"/>
        <v>1</v>
      </c>
      <c r="CE193" s="184" t="str">
        <f t="shared" si="449"/>
        <v/>
      </c>
      <c r="CF193" s="184" t="str">
        <f t="shared" si="450"/>
        <v/>
      </c>
      <c r="CG193" s="184" t="str">
        <f t="shared" si="451"/>
        <v/>
      </c>
      <c r="CH193" s="184" t="str">
        <f t="shared" si="452"/>
        <v/>
      </c>
      <c r="CI193" s="184" t="str">
        <f t="shared" si="453"/>
        <v/>
      </c>
      <c r="CJ193" s="184" t="str">
        <f t="shared" si="454"/>
        <v/>
      </c>
      <c r="CK193" s="184"/>
      <c r="CM193" s="184"/>
      <c r="CN193"/>
      <c r="CP193"/>
      <c r="CR193"/>
      <c r="CT193"/>
      <c r="CV193"/>
      <c r="CX193"/>
      <c r="CZ193"/>
      <c r="DB193"/>
      <c r="DD193"/>
      <c r="DF193"/>
      <c r="ED193" s="184"/>
      <c r="EF193" s="184"/>
      <c r="EH193" s="184"/>
      <c r="EJ193" s="184"/>
      <c r="EL193" s="184"/>
      <c r="EN193" s="184"/>
      <c r="EP193" s="184"/>
      <c r="ER193" s="184"/>
      <c r="ET193" s="184"/>
      <c r="EV193" s="184"/>
      <c r="EX193" s="184"/>
      <c r="EZ193" s="184"/>
      <c r="FB193" s="184"/>
    </row>
    <row r="194" spans="1:158">
      <c r="A194" s="184">
        <f t="shared" si="368"/>
        <v>27</v>
      </c>
      <c r="B194" s="18">
        <f t="shared" si="405"/>
        <v>8100</v>
      </c>
      <c r="C194" s="18">
        <f t="shared" si="482"/>
        <v>10533.333333333321</v>
      </c>
      <c r="D194" s="18">
        <f t="shared" si="483"/>
        <v>13933.333333333321</v>
      </c>
      <c r="E194" s="18">
        <f t="shared" si="458"/>
        <v>15933.333333333321</v>
      </c>
      <c r="F194" s="18">
        <f t="shared" si="459"/>
        <v>7766.6666666666606</v>
      </c>
      <c r="G194" s="18">
        <f t="shared" si="460"/>
        <v>10066.666666666679</v>
      </c>
      <c r="H194" s="18">
        <f t="shared" si="461"/>
        <v>14000</v>
      </c>
      <c r="I194" s="18">
        <f t="shared" si="462"/>
        <v>8033.3333333333394</v>
      </c>
      <c r="J194" s="18">
        <f t="shared" si="463"/>
        <v>10666.666666666679</v>
      </c>
      <c r="K194" s="18">
        <f t="shared" si="464"/>
        <v>13533.333333333321</v>
      </c>
      <c r="L194" s="18">
        <f t="shared" si="465"/>
        <v>16133.333333333321</v>
      </c>
      <c r="M194" s="18">
        <f t="shared" si="466"/>
        <v>19866.666666666646</v>
      </c>
      <c r="N194" s="18">
        <f t="shared" si="467"/>
        <v>11900</v>
      </c>
      <c r="O194" s="18">
        <f t="shared" si="468"/>
        <v>14033.333333333321</v>
      </c>
      <c r="P194" s="18">
        <f t="shared" si="469"/>
        <v>17900</v>
      </c>
      <c r="Q194" s="18">
        <f t="shared" si="470"/>
        <v>20466.666666666642</v>
      </c>
      <c r="R194" s="18">
        <f t="shared" si="471"/>
        <v>28700</v>
      </c>
      <c r="S194" s="18">
        <f t="shared" si="472"/>
        <v>17666.666666666657</v>
      </c>
      <c r="T194" s="18">
        <f t="shared" si="473"/>
        <v>20433.333333333358</v>
      </c>
      <c r="U194" s="18">
        <f t="shared" si="474"/>
        <v>23757.066666666673</v>
      </c>
      <c r="V194" s="18">
        <f t="shared" si="475"/>
        <v>28944.000000000029</v>
      </c>
      <c r="W194" s="18">
        <f t="shared" si="476"/>
        <v>36340.800000000047</v>
      </c>
      <c r="X194" s="18">
        <f t="shared" si="477"/>
        <v>39635.999999999971</v>
      </c>
      <c r="Y194" s="18">
        <f t="shared" si="478"/>
        <v>46666.666666666715</v>
      </c>
      <c r="Z194" s="18">
        <f t="shared" si="478"/>
        <v>34826.666666666672</v>
      </c>
      <c r="AA194" s="18">
        <f t="shared" ref="AA194:AB194" si="505">AA193+(AA$234-AA$174)/60</f>
        <v>43253.333333333285</v>
      </c>
      <c r="AB194" s="18">
        <f t="shared" si="505"/>
        <v>54560</v>
      </c>
      <c r="AC194" s="18">
        <f t="shared" si="477"/>
        <v>11800</v>
      </c>
      <c r="AD194" s="18">
        <f t="shared" ref="AD194:AR194" si="506">AD193+(AD$234-AD$174)/60</f>
        <v>14133.333333333321</v>
      </c>
      <c r="AE194" s="18">
        <f t="shared" si="506"/>
        <v>16066.666666666679</v>
      </c>
      <c r="AF194" s="18">
        <f t="shared" si="506"/>
        <v>20000</v>
      </c>
      <c r="AG194" s="18">
        <f t="shared" si="506"/>
        <v>23533.333333333358</v>
      </c>
      <c r="AH194" s="18">
        <f t="shared" ref="AH194:AK194" si="507">AH193+(AH$234-AH$174)/60</f>
        <v>15266.666666666679</v>
      </c>
      <c r="AI194" s="18">
        <f t="shared" si="507"/>
        <v>17466.666666666664</v>
      </c>
      <c r="AJ194" s="18">
        <f t="shared" si="507"/>
        <v>22000</v>
      </c>
      <c r="AK194" s="18">
        <f t="shared" si="507"/>
        <v>25000</v>
      </c>
      <c r="AL194" s="18">
        <f t="shared" si="506"/>
        <v>22000</v>
      </c>
      <c r="AM194" s="18">
        <f t="shared" si="506"/>
        <v>25000</v>
      </c>
      <c r="AN194" s="18">
        <f t="shared" si="506"/>
        <v>28600</v>
      </c>
      <c r="AO194" s="18">
        <f t="shared" si="506"/>
        <v>45000</v>
      </c>
      <c r="AP194" s="18">
        <f t="shared" si="506"/>
        <v>48000</v>
      </c>
      <c r="AQ194" s="18">
        <f t="shared" si="506"/>
        <v>54000</v>
      </c>
      <c r="AR194" s="18">
        <f t="shared" si="506"/>
        <v>147200</v>
      </c>
      <c r="AS194" s="18">
        <f t="shared" si="412"/>
        <v>21521.739130434784</v>
      </c>
      <c r="AT194" s="184" t="str">
        <f t="shared" si="414"/>
        <v/>
      </c>
      <c r="AU194" s="184" t="str">
        <f t="shared" si="415"/>
        <v/>
      </c>
      <c r="AV194" s="184" t="str">
        <f t="shared" si="416"/>
        <v/>
      </c>
      <c r="AW194" s="184" t="str">
        <f t="shared" si="417"/>
        <v/>
      </c>
      <c r="AX194" s="184" t="str">
        <f t="shared" si="418"/>
        <v/>
      </c>
      <c r="AY194" s="184" t="str">
        <f t="shared" si="419"/>
        <v/>
      </c>
      <c r="AZ194" s="184" t="str">
        <f t="shared" si="420"/>
        <v/>
      </c>
      <c r="BA194" s="184" t="str">
        <f t="shared" si="421"/>
        <v/>
      </c>
      <c r="BB194" s="184" t="str">
        <f t="shared" si="422"/>
        <v/>
      </c>
      <c r="BC194" s="184" t="str">
        <f t="shared" si="423"/>
        <v/>
      </c>
      <c r="BD194" s="184" t="str">
        <f t="shared" si="424"/>
        <v/>
      </c>
      <c r="BE194" s="184" t="str">
        <f t="shared" si="425"/>
        <v/>
      </c>
      <c r="BF194" s="184" t="str">
        <f t="shared" si="426"/>
        <v/>
      </c>
      <c r="BG194" s="184" t="str">
        <f t="shared" si="427"/>
        <v/>
      </c>
      <c r="BH194" s="184" t="str">
        <f t="shared" si="428"/>
        <v/>
      </c>
      <c r="BI194" s="184" t="str">
        <f t="shared" si="429"/>
        <v/>
      </c>
      <c r="BJ194" s="184" t="str">
        <f t="shared" si="430"/>
        <v/>
      </c>
      <c r="BK194" s="184" t="str">
        <f t="shared" si="431"/>
        <v/>
      </c>
      <c r="BL194" s="184" t="str">
        <f t="shared" si="432"/>
        <v/>
      </c>
      <c r="BM194" s="184" t="str">
        <f t="shared" si="433"/>
        <v/>
      </c>
      <c r="BN194" s="184" t="str">
        <f t="shared" si="434"/>
        <v/>
      </c>
      <c r="BO194" s="184" t="str">
        <f t="shared" si="435"/>
        <v/>
      </c>
      <c r="BP194" s="184" t="str">
        <f t="shared" si="436"/>
        <v/>
      </c>
      <c r="BQ194" s="184" t="str">
        <f t="shared" si="437"/>
        <v/>
      </c>
      <c r="BR194" s="184" t="str">
        <f t="shared" si="438"/>
        <v/>
      </c>
      <c r="BS194" s="184" t="str">
        <f t="shared" si="438"/>
        <v/>
      </c>
      <c r="BT194" s="184" t="str">
        <f t="shared" si="438"/>
        <v/>
      </c>
      <c r="BU194" s="184" t="str">
        <f t="shared" si="439"/>
        <v/>
      </c>
      <c r="BV194" s="184" t="str">
        <f t="shared" si="440"/>
        <v/>
      </c>
      <c r="BW194" s="184" t="str">
        <f t="shared" si="441"/>
        <v/>
      </c>
      <c r="BX194" s="184" t="str">
        <f t="shared" si="442"/>
        <v/>
      </c>
      <c r="BY194" s="184" t="str">
        <f t="shared" si="443"/>
        <v/>
      </c>
      <c r="BZ194" s="184" t="str">
        <f t="shared" si="444"/>
        <v/>
      </c>
      <c r="CA194" s="184" t="str">
        <f t="shared" si="445"/>
        <v/>
      </c>
      <c r="CB194" s="184" t="str">
        <f t="shared" si="446"/>
        <v/>
      </c>
      <c r="CC194" s="184" t="str">
        <f t="shared" si="447"/>
        <v/>
      </c>
      <c r="CD194" s="184" t="str">
        <f t="shared" si="448"/>
        <v/>
      </c>
      <c r="CE194" s="184" t="str">
        <f t="shared" si="449"/>
        <v/>
      </c>
      <c r="CF194" s="184" t="str">
        <f t="shared" si="450"/>
        <v/>
      </c>
      <c r="CG194" s="184" t="str">
        <f t="shared" si="451"/>
        <v/>
      </c>
      <c r="CH194" s="184" t="str">
        <f t="shared" si="452"/>
        <v/>
      </c>
      <c r="CI194" s="184" t="str">
        <f t="shared" si="453"/>
        <v/>
      </c>
      <c r="CJ194" s="184" t="str">
        <f t="shared" si="454"/>
        <v/>
      </c>
      <c r="CK194" s="184"/>
      <c r="CM194" s="184"/>
      <c r="CN194"/>
      <c r="CP194"/>
      <c r="CR194"/>
      <c r="CT194"/>
      <c r="CV194"/>
      <c r="CX194"/>
      <c r="CZ194"/>
      <c r="DB194"/>
      <c r="DD194"/>
      <c r="DF194"/>
      <c r="ED194" s="184"/>
      <c r="EF194" s="184"/>
      <c r="EH194" s="184"/>
      <c r="EJ194" s="184"/>
      <c r="EL194" s="184"/>
      <c r="EN194" s="184"/>
      <c r="EP194" s="184"/>
      <c r="ER194" s="184"/>
      <c r="ET194" s="184"/>
      <c r="EV194" s="184"/>
      <c r="EX194" s="184"/>
      <c r="EZ194" s="184"/>
      <c r="FB194" s="184"/>
    </row>
    <row r="195" spans="1:158">
      <c r="A195" s="184">
        <f t="shared" si="368"/>
        <v>27.5</v>
      </c>
      <c r="B195" s="18">
        <f t="shared" si="405"/>
        <v>8170</v>
      </c>
      <c r="C195" s="18">
        <f t="shared" si="482"/>
        <v>10609.999999999987</v>
      </c>
      <c r="D195" s="18">
        <f t="shared" si="483"/>
        <v>14034.999999999987</v>
      </c>
      <c r="E195" s="18">
        <f t="shared" si="458"/>
        <v>16074.999999999987</v>
      </c>
      <c r="F195" s="18">
        <f t="shared" si="459"/>
        <v>7844.9999999999936</v>
      </c>
      <c r="G195" s="18">
        <f t="shared" si="460"/>
        <v>10155.000000000013</v>
      </c>
      <c r="H195" s="18">
        <f t="shared" si="461"/>
        <v>14100</v>
      </c>
      <c r="I195" s="18">
        <f t="shared" si="462"/>
        <v>8105.0000000000064</v>
      </c>
      <c r="J195" s="18">
        <f t="shared" si="463"/>
        <v>10760.000000000013</v>
      </c>
      <c r="K195" s="18">
        <f t="shared" si="464"/>
        <v>13644.999999999987</v>
      </c>
      <c r="L195" s="18">
        <f t="shared" si="465"/>
        <v>16269.999999999987</v>
      </c>
      <c r="M195" s="18">
        <f t="shared" si="466"/>
        <v>20059.999999999978</v>
      </c>
      <c r="N195" s="18">
        <f t="shared" si="467"/>
        <v>11955</v>
      </c>
      <c r="O195" s="18">
        <f t="shared" si="468"/>
        <v>14134.999999999987</v>
      </c>
      <c r="P195" s="18">
        <f t="shared" si="469"/>
        <v>17975</v>
      </c>
      <c r="Q195" s="18">
        <f t="shared" si="470"/>
        <v>20579.999999999975</v>
      </c>
      <c r="R195" s="18">
        <f t="shared" si="471"/>
        <v>28905</v>
      </c>
      <c r="S195" s="18">
        <f t="shared" si="472"/>
        <v>17774.999999999989</v>
      </c>
      <c r="T195" s="18">
        <f t="shared" si="473"/>
        <v>20547.500000000025</v>
      </c>
      <c r="U195" s="18">
        <f t="shared" si="474"/>
        <v>23878.140000000007</v>
      </c>
      <c r="V195" s="18">
        <f t="shared" si="475"/>
        <v>29120.400000000031</v>
      </c>
      <c r="W195" s="18">
        <f t="shared" si="476"/>
        <v>36562.28000000005</v>
      </c>
      <c r="X195" s="18">
        <f t="shared" si="477"/>
        <v>39995.099999999969</v>
      </c>
      <c r="Y195" s="18">
        <f t="shared" si="478"/>
        <v>46850.000000000051</v>
      </c>
      <c r="Z195" s="18">
        <f t="shared" si="478"/>
        <v>35056.000000000007</v>
      </c>
      <c r="AA195" s="18">
        <f t="shared" ref="AA195:AB195" si="508">AA194+(AA$234-AA$174)/60</f>
        <v>43471.999999999949</v>
      </c>
      <c r="AB195" s="18">
        <f t="shared" si="508"/>
        <v>54846</v>
      </c>
      <c r="AC195" s="18">
        <f t="shared" si="477"/>
        <v>11855</v>
      </c>
      <c r="AD195" s="18">
        <f t="shared" ref="AD195:AR195" si="509">AD194+(AD$234-AD$174)/60</f>
        <v>14229.999999999987</v>
      </c>
      <c r="AE195" s="18">
        <f t="shared" si="509"/>
        <v>16190.000000000013</v>
      </c>
      <c r="AF195" s="18">
        <f t="shared" si="509"/>
        <v>20100</v>
      </c>
      <c r="AG195" s="18">
        <f t="shared" si="509"/>
        <v>23695.000000000025</v>
      </c>
      <c r="AH195" s="18">
        <f t="shared" ref="AH195:AK195" si="510">AH194+(AH$234-AH$174)/60</f>
        <v>15360.000000000013</v>
      </c>
      <c r="AI195" s="18">
        <f t="shared" si="510"/>
        <v>17599.999999999996</v>
      </c>
      <c r="AJ195" s="18">
        <f t="shared" si="510"/>
        <v>22075</v>
      </c>
      <c r="AK195" s="18">
        <f t="shared" si="510"/>
        <v>25100</v>
      </c>
      <c r="AL195" s="18">
        <f t="shared" si="509"/>
        <v>22000</v>
      </c>
      <c r="AM195" s="18">
        <f t="shared" si="509"/>
        <v>25000</v>
      </c>
      <c r="AN195" s="18">
        <f t="shared" si="509"/>
        <v>28600</v>
      </c>
      <c r="AO195" s="18">
        <f t="shared" si="509"/>
        <v>45000</v>
      </c>
      <c r="AP195" s="18">
        <f t="shared" si="509"/>
        <v>48000</v>
      </c>
      <c r="AQ195" s="18">
        <f t="shared" si="509"/>
        <v>54000</v>
      </c>
      <c r="AR195" s="18">
        <f t="shared" si="509"/>
        <v>147200</v>
      </c>
      <c r="AS195" s="18">
        <f t="shared" si="412"/>
        <v>21195.652173913044</v>
      </c>
      <c r="AT195" s="184" t="str">
        <f t="shared" si="414"/>
        <v/>
      </c>
      <c r="AU195" s="184" t="str">
        <f t="shared" si="415"/>
        <v/>
      </c>
      <c r="AV195" s="184" t="str">
        <f t="shared" si="416"/>
        <v/>
      </c>
      <c r="AW195" s="184" t="str">
        <f t="shared" si="417"/>
        <v/>
      </c>
      <c r="AX195" s="184" t="str">
        <f t="shared" si="418"/>
        <v/>
      </c>
      <c r="AY195" s="184" t="str">
        <f t="shared" si="419"/>
        <v/>
      </c>
      <c r="AZ195" s="184" t="str">
        <f t="shared" si="420"/>
        <v/>
      </c>
      <c r="BA195" s="184" t="str">
        <f t="shared" si="421"/>
        <v/>
      </c>
      <c r="BB195" s="184" t="str">
        <f t="shared" si="422"/>
        <v/>
      </c>
      <c r="BC195" s="184" t="str">
        <f t="shared" si="423"/>
        <v/>
      </c>
      <c r="BD195" s="184" t="str">
        <f t="shared" si="424"/>
        <v/>
      </c>
      <c r="BE195" s="184" t="str">
        <f t="shared" si="425"/>
        <v/>
      </c>
      <c r="BF195" s="184" t="str">
        <f t="shared" si="426"/>
        <v/>
      </c>
      <c r="BG195" s="184" t="str">
        <f t="shared" si="427"/>
        <v/>
      </c>
      <c r="BH195" s="184" t="str">
        <f t="shared" si="428"/>
        <v/>
      </c>
      <c r="BI195" s="184" t="str">
        <f t="shared" si="429"/>
        <v/>
      </c>
      <c r="BJ195" s="184" t="str">
        <f t="shared" si="430"/>
        <v/>
      </c>
      <c r="BK195" s="184" t="str">
        <f t="shared" si="431"/>
        <v/>
      </c>
      <c r="BL195" s="184" t="str">
        <f t="shared" si="432"/>
        <v/>
      </c>
      <c r="BM195" s="184" t="str">
        <f t="shared" si="433"/>
        <v/>
      </c>
      <c r="BN195" s="184" t="str">
        <f t="shared" si="434"/>
        <v/>
      </c>
      <c r="BO195" s="184" t="str">
        <f t="shared" si="435"/>
        <v/>
      </c>
      <c r="BP195" s="184" t="str">
        <f t="shared" si="436"/>
        <v/>
      </c>
      <c r="BQ195" s="184" t="str">
        <f t="shared" si="437"/>
        <v/>
      </c>
      <c r="BR195" s="184" t="str">
        <f t="shared" si="438"/>
        <v/>
      </c>
      <c r="BS195" s="184" t="str">
        <f t="shared" si="438"/>
        <v/>
      </c>
      <c r="BT195" s="184" t="str">
        <f t="shared" si="438"/>
        <v/>
      </c>
      <c r="BU195" s="184" t="str">
        <f t="shared" si="439"/>
        <v/>
      </c>
      <c r="BV195" s="184" t="str">
        <f t="shared" si="440"/>
        <v/>
      </c>
      <c r="BW195" s="184" t="str">
        <f t="shared" si="441"/>
        <v/>
      </c>
      <c r="BX195" s="184" t="str">
        <f t="shared" si="442"/>
        <v/>
      </c>
      <c r="BY195" s="184" t="str">
        <f t="shared" si="443"/>
        <v/>
      </c>
      <c r="BZ195" s="184" t="str">
        <f t="shared" si="444"/>
        <v/>
      </c>
      <c r="CA195" s="184" t="str">
        <f t="shared" si="445"/>
        <v/>
      </c>
      <c r="CB195" s="184" t="str">
        <f t="shared" si="446"/>
        <v/>
      </c>
      <c r="CC195" s="184" t="str">
        <f t="shared" si="447"/>
        <v/>
      </c>
      <c r="CD195" s="184" t="str">
        <f t="shared" si="448"/>
        <v/>
      </c>
      <c r="CE195" s="184" t="str">
        <f t="shared" si="449"/>
        <v/>
      </c>
      <c r="CF195" s="184" t="str">
        <f t="shared" si="450"/>
        <v/>
      </c>
      <c r="CG195" s="184" t="str">
        <f t="shared" si="451"/>
        <v/>
      </c>
      <c r="CH195" s="184" t="str">
        <f t="shared" si="452"/>
        <v/>
      </c>
      <c r="CI195" s="184" t="str">
        <f t="shared" si="453"/>
        <v/>
      </c>
      <c r="CJ195" s="184" t="str">
        <f t="shared" si="454"/>
        <v/>
      </c>
      <c r="CK195" s="184"/>
      <c r="CM195" s="184"/>
      <c r="CN195"/>
      <c r="CP195"/>
      <c r="CR195"/>
      <c r="CT195"/>
      <c r="CV195"/>
      <c r="CX195"/>
      <c r="CZ195"/>
      <c r="DB195"/>
      <c r="DD195"/>
      <c r="DF195"/>
      <c r="ED195" s="184"/>
      <c r="EF195" s="184"/>
      <c r="EH195" s="184"/>
      <c r="EJ195" s="184"/>
      <c r="EL195" s="184"/>
      <c r="EN195" s="184"/>
      <c r="EP195" s="184"/>
      <c r="ER195" s="184"/>
      <c r="ET195" s="184"/>
      <c r="EV195" s="184"/>
      <c r="EX195" s="184"/>
      <c r="EZ195" s="184"/>
      <c r="FB195" s="184"/>
    </row>
    <row r="196" spans="1:158">
      <c r="A196" s="184">
        <f t="shared" si="368"/>
        <v>28</v>
      </c>
      <c r="B196" s="18">
        <f t="shared" si="405"/>
        <v>8240</v>
      </c>
      <c r="C196" s="18">
        <f t="shared" si="482"/>
        <v>10686.666666666653</v>
      </c>
      <c r="D196" s="18">
        <f t="shared" si="483"/>
        <v>14136.666666666653</v>
      </c>
      <c r="E196" s="18">
        <f t="shared" si="458"/>
        <v>16216.666666666653</v>
      </c>
      <c r="F196" s="18">
        <f t="shared" si="459"/>
        <v>7923.3333333333267</v>
      </c>
      <c r="G196" s="18">
        <f t="shared" si="460"/>
        <v>10243.333333333347</v>
      </c>
      <c r="H196" s="18">
        <f t="shared" si="461"/>
        <v>14200</v>
      </c>
      <c r="I196" s="18">
        <f t="shared" si="462"/>
        <v>8176.6666666666733</v>
      </c>
      <c r="J196" s="18">
        <f t="shared" si="463"/>
        <v>10853.333333333347</v>
      </c>
      <c r="K196" s="18">
        <f t="shared" si="464"/>
        <v>13756.666666666653</v>
      </c>
      <c r="L196" s="18">
        <f t="shared" si="465"/>
        <v>16406.666666666653</v>
      </c>
      <c r="M196" s="18">
        <f t="shared" si="466"/>
        <v>20253.33333333331</v>
      </c>
      <c r="N196" s="18">
        <f t="shared" si="467"/>
        <v>12010</v>
      </c>
      <c r="O196" s="18">
        <f t="shared" si="468"/>
        <v>14236.666666666653</v>
      </c>
      <c r="P196" s="18">
        <f t="shared" si="469"/>
        <v>18050</v>
      </c>
      <c r="Q196" s="18">
        <f t="shared" si="470"/>
        <v>20693.333333333307</v>
      </c>
      <c r="R196" s="18">
        <f t="shared" si="471"/>
        <v>29110</v>
      </c>
      <c r="S196" s="18">
        <f t="shared" si="472"/>
        <v>17883.333333333321</v>
      </c>
      <c r="T196" s="18">
        <f t="shared" si="473"/>
        <v>20661.666666666693</v>
      </c>
      <c r="U196" s="18">
        <f t="shared" si="474"/>
        <v>23999.21333333334</v>
      </c>
      <c r="V196" s="18">
        <f t="shared" si="475"/>
        <v>29296.800000000032</v>
      </c>
      <c r="W196" s="18">
        <f t="shared" si="476"/>
        <v>36783.760000000053</v>
      </c>
      <c r="X196" s="18">
        <f t="shared" si="477"/>
        <v>40354.199999999968</v>
      </c>
      <c r="Y196" s="18">
        <f t="shared" si="478"/>
        <v>47033.333333333387</v>
      </c>
      <c r="Z196" s="18">
        <f t="shared" si="478"/>
        <v>35285.333333333343</v>
      </c>
      <c r="AA196" s="18">
        <f t="shared" ref="AA196:AB196" si="511">AA195+(AA$234-AA$174)/60</f>
        <v>43690.666666666613</v>
      </c>
      <c r="AB196" s="18">
        <f t="shared" si="511"/>
        <v>55132</v>
      </c>
      <c r="AC196" s="18">
        <f t="shared" si="477"/>
        <v>11910</v>
      </c>
      <c r="AD196" s="18">
        <f t="shared" ref="AD196:AR196" si="512">AD195+(AD$234-AD$174)/60</f>
        <v>14326.666666666653</v>
      </c>
      <c r="AE196" s="18">
        <f t="shared" si="512"/>
        <v>16313.333333333347</v>
      </c>
      <c r="AF196" s="18">
        <f t="shared" si="512"/>
        <v>20200</v>
      </c>
      <c r="AG196" s="18">
        <f t="shared" si="512"/>
        <v>23856.666666666693</v>
      </c>
      <c r="AH196" s="18">
        <f t="shared" ref="AH196:AK196" si="513">AH195+(AH$234-AH$174)/60</f>
        <v>15453.333333333347</v>
      </c>
      <c r="AI196" s="18">
        <f t="shared" si="513"/>
        <v>17733.333333333328</v>
      </c>
      <c r="AJ196" s="18">
        <f t="shared" si="513"/>
        <v>22150</v>
      </c>
      <c r="AK196" s="18">
        <f t="shared" si="513"/>
        <v>25200</v>
      </c>
      <c r="AL196" s="18">
        <f t="shared" si="512"/>
        <v>22000</v>
      </c>
      <c r="AM196" s="18">
        <f t="shared" si="512"/>
        <v>25000</v>
      </c>
      <c r="AN196" s="18">
        <f t="shared" si="512"/>
        <v>28600</v>
      </c>
      <c r="AO196" s="18">
        <f t="shared" si="512"/>
        <v>45000</v>
      </c>
      <c r="AP196" s="18">
        <f t="shared" si="512"/>
        <v>48000</v>
      </c>
      <c r="AQ196" s="18">
        <f t="shared" si="512"/>
        <v>54000</v>
      </c>
      <c r="AR196" s="18">
        <f t="shared" si="512"/>
        <v>147200</v>
      </c>
      <c r="AS196" s="18">
        <f t="shared" si="412"/>
        <v>20869.565217391304</v>
      </c>
      <c r="AT196" s="184" t="str">
        <f t="shared" si="414"/>
        <v/>
      </c>
      <c r="AU196" s="184" t="str">
        <f t="shared" si="415"/>
        <v/>
      </c>
      <c r="AV196" s="184" t="str">
        <f t="shared" si="416"/>
        <v/>
      </c>
      <c r="AW196" s="184" t="str">
        <f t="shared" si="417"/>
        <v/>
      </c>
      <c r="AX196" s="184" t="str">
        <f t="shared" si="418"/>
        <v/>
      </c>
      <c r="AY196" s="184" t="str">
        <f t="shared" si="419"/>
        <v/>
      </c>
      <c r="AZ196" s="184" t="str">
        <f t="shared" si="420"/>
        <v/>
      </c>
      <c r="BA196" s="184" t="str">
        <f t="shared" si="421"/>
        <v/>
      </c>
      <c r="BB196" s="184" t="str">
        <f t="shared" si="422"/>
        <v/>
      </c>
      <c r="BC196" s="184" t="str">
        <f t="shared" si="423"/>
        <v/>
      </c>
      <c r="BD196" s="184" t="str">
        <f t="shared" si="424"/>
        <v/>
      </c>
      <c r="BE196" s="184" t="str">
        <f t="shared" si="425"/>
        <v/>
      </c>
      <c r="BF196" s="184" t="str">
        <f t="shared" si="426"/>
        <v/>
      </c>
      <c r="BG196" s="184" t="str">
        <f t="shared" si="427"/>
        <v/>
      </c>
      <c r="BH196" s="184" t="str">
        <f t="shared" si="428"/>
        <v/>
      </c>
      <c r="BI196" s="184" t="str">
        <f t="shared" si="429"/>
        <v/>
      </c>
      <c r="BJ196" s="184" t="str">
        <f t="shared" si="430"/>
        <v/>
      </c>
      <c r="BK196" s="184" t="str">
        <f t="shared" si="431"/>
        <v/>
      </c>
      <c r="BL196" s="184" t="str">
        <f t="shared" si="432"/>
        <v/>
      </c>
      <c r="BM196" s="184" t="str">
        <f t="shared" si="433"/>
        <v/>
      </c>
      <c r="BN196" s="184" t="str">
        <f t="shared" si="434"/>
        <v/>
      </c>
      <c r="BO196" s="184" t="str">
        <f t="shared" si="435"/>
        <v/>
      </c>
      <c r="BP196" s="184" t="str">
        <f t="shared" si="436"/>
        <v/>
      </c>
      <c r="BQ196" s="184" t="str">
        <f t="shared" si="437"/>
        <v/>
      </c>
      <c r="BR196" s="184" t="str">
        <f t="shared" si="438"/>
        <v/>
      </c>
      <c r="BS196" s="184" t="str">
        <f t="shared" si="438"/>
        <v/>
      </c>
      <c r="BT196" s="184" t="str">
        <f t="shared" si="438"/>
        <v/>
      </c>
      <c r="BU196" s="184" t="str">
        <f t="shared" si="439"/>
        <v/>
      </c>
      <c r="BV196" s="184" t="str">
        <f t="shared" si="440"/>
        <v/>
      </c>
      <c r="BW196" s="184" t="str">
        <f t="shared" si="441"/>
        <v/>
      </c>
      <c r="BX196" s="184" t="str">
        <f t="shared" si="442"/>
        <v/>
      </c>
      <c r="BY196" s="184" t="str">
        <f t="shared" si="443"/>
        <v/>
      </c>
      <c r="BZ196" s="184" t="str">
        <f t="shared" si="444"/>
        <v/>
      </c>
      <c r="CA196" s="184" t="str">
        <f t="shared" si="445"/>
        <v/>
      </c>
      <c r="CB196" s="184" t="str">
        <f t="shared" si="446"/>
        <v/>
      </c>
      <c r="CC196" s="184" t="str">
        <f t="shared" si="447"/>
        <v/>
      </c>
      <c r="CD196" s="184" t="str">
        <f t="shared" si="448"/>
        <v/>
      </c>
      <c r="CE196" s="184" t="str">
        <f t="shared" si="449"/>
        <v/>
      </c>
      <c r="CF196" s="184" t="str">
        <f t="shared" si="450"/>
        <v/>
      </c>
      <c r="CG196" s="184" t="str">
        <f t="shared" si="451"/>
        <v/>
      </c>
      <c r="CH196" s="184" t="str">
        <f t="shared" si="452"/>
        <v/>
      </c>
      <c r="CI196" s="184" t="str">
        <f t="shared" si="453"/>
        <v/>
      </c>
      <c r="CJ196" s="184" t="str">
        <f t="shared" si="454"/>
        <v/>
      </c>
      <c r="CK196" s="184"/>
      <c r="CM196" s="184"/>
      <c r="CN196"/>
      <c r="CP196"/>
      <c r="CR196"/>
      <c r="CT196"/>
      <c r="CV196"/>
      <c r="CX196"/>
      <c r="CZ196"/>
      <c r="DB196"/>
      <c r="DD196"/>
      <c r="DF196"/>
      <c r="ED196" s="184"/>
      <c r="EF196" s="184"/>
      <c r="EH196" s="184"/>
      <c r="EJ196" s="184"/>
      <c r="EL196" s="184"/>
      <c r="EN196" s="184"/>
      <c r="EP196" s="184"/>
      <c r="ER196" s="184"/>
      <c r="ET196" s="184"/>
      <c r="EV196" s="184"/>
      <c r="EX196" s="184"/>
      <c r="EZ196" s="184"/>
      <c r="FB196" s="184"/>
    </row>
    <row r="197" spans="1:158">
      <c r="A197" s="184">
        <f t="shared" si="368"/>
        <v>28.5</v>
      </c>
      <c r="B197" s="18">
        <f t="shared" si="405"/>
        <v>8310</v>
      </c>
      <c r="C197" s="18">
        <f t="shared" si="482"/>
        <v>10763.333333333319</v>
      </c>
      <c r="D197" s="18">
        <f t="shared" si="483"/>
        <v>14238.333333333319</v>
      </c>
      <c r="E197" s="18">
        <f t="shared" si="458"/>
        <v>16358.333333333319</v>
      </c>
      <c r="F197" s="18">
        <f t="shared" si="459"/>
        <v>8001.6666666666597</v>
      </c>
      <c r="G197" s="18">
        <f t="shared" si="460"/>
        <v>10331.666666666681</v>
      </c>
      <c r="H197" s="18">
        <f t="shared" si="461"/>
        <v>14300</v>
      </c>
      <c r="I197" s="18">
        <f t="shared" si="462"/>
        <v>8248.3333333333394</v>
      </c>
      <c r="J197" s="18">
        <f t="shared" si="463"/>
        <v>10946.666666666681</v>
      </c>
      <c r="K197" s="18">
        <f t="shared" si="464"/>
        <v>13868.333333333319</v>
      </c>
      <c r="L197" s="18">
        <f t="shared" si="465"/>
        <v>16543.333333333321</v>
      </c>
      <c r="M197" s="18">
        <f t="shared" si="466"/>
        <v>20446.666666666642</v>
      </c>
      <c r="N197" s="18">
        <f t="shared" si="467"/>
        <v>12065</v>
      </c>
      <c r="O197" s="18">
        <f t="shared" si="468"/>
        <v>14338.333333333319</v>
      </c>
      <c r="P197" s="18">
        <f t="shared" si="469"/>
        <v>18125</v>
      </c>
      <c r="Q197" s="18">
        <f t="shared" si="470"/>
        <v>20806.666666666639</v>
      </c>
      <c r="R197" s="18">
        <f t="shared" si="471"/>
        <v>29315</v>
      </c>
      <c r="S197" s="18">
        <f t="shared" si="472"/>
        <v>17991.666666666653</v>
      </c>
      <c r="T197" s="18">
        <f t="shared" si="473"/>
        <v>20775.833333333361</v>
      </c>
      <c r="U197" s="18">
        <f t="shared" si="474"/>
        <v>24120.286666666674</v>
      </c>
      <c r="V197" s="18">
        <f t="shared" si="475"/>
        <v>29473.200000000033</v>
      </c>
      <c r="W197" s="18">
        <f t="shared" si="476"/>
        <v>37005.240000000056</v>
      </c>
      <c r="X197" s="18">
        <f t="shared" si="477"/>
        <v>40713.299999999967</v>
      </c>
      <c r="Y197" s="18">
        <f t="shared" si="478"/>
        <v>47216.666666666722</v>
      </c>
      <c r="Z197" s="18">
        <f t="shared" si="478"/>
        <v>35514.666666666679</v>
      </c>
      <c r="AA197" s="18">
        <f t="shared" ref="AA197:AB197" si="514">AA196+(AA$234-AA$174)/60</f>
        <v>43909.333333333278</v>
      </c>
      <c r="AB197" s="18">
        <f t="shared" si="514"/>
        <v>55418</v>
      </c>
      <c r="AC197" s="18">
        <f t="shared" si="477"/>
        <v>11965</v>
      </c>
      <c r="AD197" s="18">
        <f t="shared" ref="AD197:AR197" si="515">AD196+(AD$234-AD$174)/60</f>
        <v>14423.333333333319</v>
      </c>
      <c r="AE197" s="18">
        <f t="shared" si="515"/>
        <v>16436.666666666679</v>
      </c>
      <c r="AF197" s="18">
        <f t="shared" si="515"/>
        <v>20300</v>
      </c>
      <c r="AG197" s="18">
        <f t="shared" si="515"/>
        <v>24018.333333333361</v>
      </c>
      <c r="AH197" s="18">
        <f t="shared" ref="AH197:AK197" si="516">AH196+(AH$234-AH$174)/60</f>
        <v>15546.666666666681</v>
      </c>
      <c r="AI197" s="18">
        <f t="shared" si="516"/>
        <v>17866.666666666661</v>
      </c>
      <c r="AJ197" s="18">
        <f t="shared" si="516"/>
        <v>22225</v>
      </c>
      <c r="AK197" s="18">
        <f t="shared" si="516"/>
        <v>25300</v>
      </c>
      <c r="AL197" s="18">
        <f t="shared" si="515"/>
        <v>22000</v>
      </c>
      <c r="AM197" s="18">
        <f t="shared" si="515"/>
        <v>25000</v>
      </c>
      <c r="AN197" s="18">
        <f t="shared" si="515"/>
        <v>28600</v>
      </c>
      <c r="AO197" s="18">
        <f t="shared" si="515"/>
        <v>45000</v>
      </c>
      <c r="AP197" s="18">
        <f t="shared" si="515"/>
        <v>48000</v>
      </c>
      <c r="AQ197" s="18">
        <f t="shared" si="515"/>
        <v>54000</v>
      </c>
      <c r="AR197" s="18">
        <f t="shared" si="515"/>
        <v>147200</v>
      </c>
      <c r="AS197" s="18">
        <f t="shared" si="412"/>
        <v>20543.478260869564</v>
      </c>
      <c r="AT197" s="184" t="str">
        <f t="shared" si="414"/>
        <v/>
      </c>
      <c r="AU197" s="184" t="str">
        <f t="shared" si="415"/>
        <v/>
      </c>
      <c r="AV197" s="184" t="str">
        <f t="shared" si="416"/>
        <v/>
      </c>
      <c r="AW197" s="184" t="str">
        <f t="shared" si="417"/>
        <v/>
      </c>
      <c r="AX197" s="184" t="str">
        <f t="shared" si="418"/>
        <v/>
      </c>
      <c r="AY197" s="184" t="str">
        <f t="shared" si="419"/>
        <v/>
      </c>
      <c r="AZ197" s="184" t="str">
        <f t="shared" si="420"/>
        <v/>
      </c>
      <c r="BA197" s="184" t="str">
        <f t="shared" si="421"/>
        <v/>
      </c>
      <c r="BB197" s="184" t="str">
        <f t="shared" si="422"/>
        <v/>
      </c>
      <c r="BC197" s="184" t="str">
        <f t="shared" si="423"/>
        <v/>
      </c>
      <c r="BD197" s="184" t="str">
        <f t="shared" si="424"/>
        <v/>
      </c>
      <c r="BE197" s="184" t="str">
        <f t="shared" si="425"/>
        <v/>
      </c>
      <c r="BF197" s="184" t="str">
        <f t="shared" si="426"/>
        <v/>
      </c>
      <c r="BG197" s="184" t="str">
        <f t="shared" si="427"/>
        <v/>
      </c>
      <c r="BH197" s="184" t="str">
        <f t="shared" si="428"/>
        <v/>
      </c>
      <c r="BI197" s="184">
        <f t="shared" si="429"/>
        <v>1</v>
      </c>
      <c r="BJ197" s="184" t="str">
        <f t="shared" si="430"/>
        <v/>
      </c>
      <c r="BK197" s="184" t="str">
        <f t="shared" si="431"/>
        <v/>
      </c>
      <c r="BL197" s="184">
        <f t="shared" si="432"/>
        <v>1</v>
      </c>
      <c r="BM197" s="184" t="str">
        <f t="shared" si="433"/>
        <v/>
      </c>
      <c r="BN197" s="184" t="str">
        <f t="shared" si="434"/>
        <v/>
      </c>
      <c r="BO197" s="184" t="str">
        <f t="shared" si="435"/>
        <v/>
      </c>
      <c r="BP197" s="184" t="str">
        <f t="shared" si="436"/>
        <v/>
      </c>
      <c r="BQ197" s="184" t="str">
        <f t="shared" si="437"/>
        <v/>
      </c>
      <c r="BR197" s="184" t="str">
        <f t="shared" si="438"/>
        <v/>
      </c>
      <c r="BS197" s="184" t="str">
        <f t="shared" si="438"/>
        <v/>
      </c>
      <c r="BT197" s="184" t="str">
        <f t="shared" si="438"/>
        <v/>
      </c>
      <c r="BU197" s="184" t="str">
        <f t="shared" si="439"/>
        <v/>
      </c>
      <c r="BV197" s="184" t="str">
        <f t="shared" si="440"/>
        <v/>
      </c>
      <c r="BW197" s="184" t="str">
        <f t="shared" si="441"/>
        <v/>
      </c>
      <c r="BX197" s="184" t="str">
        <f t="shared" si="442"/>
        <v/>
      </c>
      <c r="BY197" s="184" t="str">
        <f t="shared" si="443"/>
        <v/>
      </c>
      <c r="BZ197" s="184" t="str">
        <f t="shared" si="444"/>
        <v/>
      </c>
      <c r="CA197" s="184" t="str">
        <f t="shared" si="445"/>
        <v/>
      </c>
      <c r="CB197" s="184" t="str">
        <f t="shared" si="446"/>
        <v/>
      </c>
      <c r="CC197" s="184" t="str">
        <f t="shared" si="447"/>
        <v/>
      </c>
      <c r="CD197" s="184" t="str">
        <f t="shared" si="448"/>
        <v/>
      </c>
      <c r="CE197" s="184" t="str">
        <f t="shared" si="449"/>
        <v/>
      </c>
      <c r="CF197" s="184" t="str">
        <f t="shared" si="450"/>
        <v/>
      </c>
      <c r="CG197" s="184" t="str">
        <f t="shared" si="451"/>
        <v/>
      </c>
      <c r="CH197" s="184" t="str">
        <f t="shared" si="452"/>
        <v/>
      </c>
      <c r="CI197" s="184" t="str">
        <f t="shared" si="453"/>
        <v/>
      </c>
      <c r="CJ197" s="184" t="str">
        <f t="shared" si="454"/>
        <v/>
      </c>
      <c r="CK197" s="184"/>
      <c r="CM197" s="184"/>
      <c r="CN197"/>
      <c r="CP197"/>
      <c r="CR197"/>
      <c r="CT197"/>
      <c r="CV197"/>
      <c r="CX197"/>
      <c r="CZ197"/>
      <c r="DB197"/>
      <c r="DD197"/>
      <c r="DF197"/>
      <c r="ED197" s="184"/>
      <c r="EF197" s="184"/>
      <c r="EH197" s="184"/>
      <c r="EJ197" s="184"/>
      <c r="EL197" s="184"/>
      <c r="EN197" s="184"/>
      <c r="EP197" s="184"/>
      <c r="ER197" s="184"/>
      <c r="ET197" s="184"/>
      <c r="EV197" s="184"/>
      <c r="EX197" s="184"/>
      <c r="EZ197" s="184"/>
      <c r="FB197" s="184"/>
    </row>
    <row r="198" spans="1:158">
      <c r="A198" s="184">
        <f t="shared" si="368"/>
        <v>29</v>
      </c>
      <c r="B198" s="18">
        <f t="shared" si="405"/>
        <v>8380</v>
      </c>
      <c r="C198" s="18">
        <f t="shared" si="482"/>
        <v>10839.999999999985</v>
      </c>
      <c r="D198" s="18">
        <f t="shared" si="483"/>
        <v>14339.999999999985</v>
      </c>
      <c r="E198" s="18">
        <f t="shared" si="458"/>
        <v>16499.999999999985</v>
      </c>
      <c r="F198" s="18">
        <f t="shared" si="459"/>
        <v>8079.9999999999927</v>
      </c>
      <c r="G198" s="18">
        <f t="shared" si="460"/>
        <v>10420.000000000015</v>
      </c>
      <c r="H198" s="18">
        <f t="shared" si="461"/>
        <v>14400</v>
      </c>
      <c r="I198" s="18">
        <f t="shared" si="462"/>
        <v>8320.0000000000055</v>
      </c>
      <c r="J198" s="18">
        <f t="shared" si="463"/>
        <v>11040.000000000015</v>
      </c>
      <c r="K198" s="18">
        <f t="shared" si="464"/>
        <v>13979.999999999985</v>
      </c>
      <c r="L198" s="18">
        <f t="shared" si="465"/>
        <v>16679.999999999989</v>
      </c>
      <c r="M198" s="18">
        <f t="shared" si="466"/>
        <v>20639.999999999975</v>
      </c>
      <c r="N198" s="18">
        <f t="shared" si="467"/>
        <v>12120</v>
      </c>
      <c r="O198" s="18">
        <f t="shared" si="468"/>
        <v>14439.999999999985</v>
      </c>
      <c r="P198" s="18">
        <f t="shared" si="469"/>
        <v>18200</v>
      </c>
      <c r="Q198" s="18">
        <f t="shared" si="470"/>
        <v>20919.999999999971</v>
      </c>
      <c r="R198" s="18">
        <f t="shared" si="471"/>
        <v>29520</v>
      </c>
      <c r="S198" s="18">
        <f t="shared" si="472"/>
        <v>18099.999999999985</v>
      </c>
      <c r="T198" s="18">
        <f t="shared" si="473"/>
        <v>20890.000000000029</v>
      </c>
      <c r="U198" s="18">
        <f t="shared" si="474"/>
        <v>24241.360000000008</v>
      </c>
      <c r="V198" s="18">
        <f t="shared" si="475"/>
        <v>29649.600000000035</v>
      </c>
      <c r="W198" s="18">
        <f t="shared" si="476"/>
        <v>37226.720000000059</v>
      </c>
      <c r="X198" s="18">
        <f t="shared" si="477"/>
        <v>41072.399999999965</v>
      </c>
      <c r="Y198" s="18">
        <f t="shared" si="478"/>
        <v>47400.000000000058</v>
      </c>
      <c r="Z198" s="18">
        <f t="shared" si="478"/>
        <v>35744.000000000015</v>
      </c>
      <c r="AA198" s="18">
        <f t="shared" ref="AA198:AB198" si="517">AA197+(AA$234-AA$174)/60</f>
        <v>44127.999999999942</v>
      </c>
      <c r="AB198" s="18">
        <f t="shared" si="517"/>
        <v>55704</v>
      </c>
      <c r="AC198" s="18">
        <f t="shared" si="477"/>
        <v>12020</v>
      </c>
      <c r="AD198" s="18">
        <f t="shared" ref="AD198:AR198" si="518">AD197+(AD$234-AD$174)/60</f>
        <v>14519.999999999985</v>
      </c>
      <c r="AE198" s="18">
        <f t="shared" si="518"/>
        <v>16560.000000000011</v>
      </c>
      <c r="AF198" s="18">
        <f t="shared" si="518"/>
        <v>20400</v>
      </c>
      <c r="AG198" s="18">
        <f t="shared" si="518"/>
        <v>24180.000000000029</v>
      </c>
      <c r="AH198" s="18">
        <f t="shared" ref="AH198:AK198" si="519">AH197+(AH$234-AH$174)/60</f>
        <v>15640.000000000015</v>
      </c>
      <c r="AI198" s="18">
        <f t="shared" si="519"/>
        <v>17999.999999999993</v>
      </c>
      <c r="AJ198" s="18">
        <f t="shared" si="519"/>
        <v>22300</v>
      </c>
      <c r="AK198" s="18">
        <f t="shared" si="519"/>
        <v>25400</v>
      </c>
      <c r="AL198" s="18">
        <f t="shared" si="518"/>
        <v>22000</v>
      </c>
      <c r="AM198" s="18">
        <f t="shared" si="518"/>
        <v>25000</v>
      </c>
      <c r="AN198" s="18">
        <f t="shared" si="518"/>
        <v>28600</v>
      </c>
      <c r="AO198" s="18">
        <f t="shared" si="518"/>
        <v>45000</v>
      </c>
      <c r="AP198" s="18">
        <f t="shared" si="518"/>
        <v>48000</v>
      </c>
      <c r="AQ198" s="18">
        <f t="shared" si="518"/>
        <v>54000</v>
      </c>
      <c r="AR198" s="18">
        <f t="shared" si="518"/>
        <v>147200</v>
      </c>
      <c r="AS198" s="18">
        <f t="shared" si="412"/>
        <v>20217.391304347824</v>
      </c>
      <c r="AT198" s="184" t="str">
        <f t="shared" si="414"/>
        <v/>
      </c>
      <c r="AU198" s="184" t="str">
        <f t="shared" si="415"/>
        <v/>
      </c>
      <c r="AV198" s="184" t="str">
        <f t="shared" si="416"/>
        <v/>
      </c>
      <c r="AW198" s="184" t="str">
        <f t="shared" si="417"/>
        <v/>
      </c>
      <c r="AX198" s="184" t="str">
        <f t="shared" si="418"/>
        <v/>
      </c>
      <c r="AY198" s="184" t="str">
        <f t="shared" si="419"/>
        <v/>
      </c>
      <c r="AZ198" s="184" t="str">
        <f t="shared" si="420"/>
        <v/>
      </c>
      <c r="BA198" s="184" t="str">
        <f t="shared" si="421"/>
        <v/>
      </c>
      <c r="BB198" s="184" t="str">
        <f t="shared" si="422"/>
        <v/>
      </c>
      <c r="BC198" s="184" t="str">
        <f t="shared" si="423"/>
        <v/>
      </c>
      <c r="BD198" s="184" t="str">
        <f t="shared" si="424"/>
        <v/>
      </c>
      <c r="BE198" s="184">
        <f t="shared" si="425"/>
        <v>1</v>
      </c>
      <c r="BF198" s="184" t="str">
        <f t="shared" si="426"/>
        <v/>
      </c>
      <c r="BG198" s="184" t="str">
        <f t="shared" si="427"/>
        <v/>
      </c>
      <c r="BH198" s="184" t="str">
        <f t="shared" si="428"/>
        <v/>
      </c>
      <c r="BI198" s="184" t="str">
        <f t="shared" si="429"/>
        <v/>
      </c>
      <c r="BJ198" s="184" t="str">
        <f t="shared" si="430"/>
        <v/>
      </c>
      <c r="BK198" s="184" t="str">
        <f t="shared" si="431"/>
        <v/>
      </c>
      <c r="BL198" s="184" t="str">
        <f t="shared" si="432"/>
        <v/>
      </c>
      <c r="BM198" s="184" t="str">
        <f t="shared" si="433"/>
        <v/>
      </c>
      <c r="BN198" s="184" t="str">
        <f t="shared" si="434"/>
        <v/>
      </c>
      <c r="BO198" s="184" t="str">
        <f t="shared" si="435"/>
        <v/>
      </c>
      <c r="BP198" s="184" t="str">
        <f t="shared" si="436"/>
        <v/>
      </c>
      <c r="BQ198" s="184" t="str">
        <f t="shared" si="437"/>
        <v/>
      </c>
      <c r="BR198" s="184" t="str">
        <f t="shared" ref="BR198:BT213" si="520">IF(AND(Z198&gt;=$AS198,Z197&lt;$AS197),1,"")</f>
        <v/>
      </c>
      <c r="BS198" s="184" t="str">
        <f t="shared" si="520"/>
        <v/>
      </c>
      <c r="BT198" s="184" t="str">
        <f t="shared" si="520"/>
        <v/>
      </c>
      <c r="BU198" s="184" t="str">
        <f t="shared" si="439"/>
        <v/>
      </c>
      <c r="BV198" s="184" t="str">
        <f t="shared" si="440"/>
        <v/>
      </c>
      <c r="BW198" s="184" t="str">
        <f t="shared" si="441"/>
        <v/>
      </c>
      <c r="BX198" s="184">
        <f t="shared" si="442"/>
        <v>1</v>
      </c>
      <c r="BY198" s="184" t="str">
        <f t="shared" si="443"/>
        <v/>
      </c>
      <c r="BZ198" s="184" t="str">
        <f t="shared" si="444"/>
        <v/>
      </c>
      <c r="CA198" s="184" t="str">
        <f t="shared" si="445"/>
        <v/>
      </c>
      <c r="CB198" s="184" t="str">
        <f t="shared" si="446"/>
        <v/>
      </c>
      <c r="CC198" s="184" t="str">
        <f t="shared" si="447"/>
        <v/>
      </c>
      <c r="CD198" s="184" t="str">
        <f t="shared" si="448"/>
        <v/>
      </c>
      <c r="CE198" s="184" t="str">
        <f t="shared" si="449"/>
        <v/>
      </c>
      <c r="CF198" s="184" t="str">
        <f t="shared" si="450"/>
        <v/>
      </c>
      <c r="CG198" s="184" t="str">
        <f t="shared" si="451"/>
        <v/>
      </c>
      <c r="CH198" s="184" t="str">
        <f t="shared" si="452"/>
        <v/>
      </c>
      <c r="CI198" s="184" t="str">
        <f t="shared" si="453"/>
        <v/>
      </c>
      <c r="CJ198" s="184" t="str">
        <f t="shared" si="454"/>
        <v/>
      </c>
      <c r="CK198" s="184"/>
      <c r="CM198" s="184"/>
      <c r="CN198"/>
      <c r="CP198"/>
      <c r="CR198"/>
      <c r="CT198"/>
      <c r="CV198"/>
      <c r="CX198"/>
      <c r="CZ198"/>
      <c r="DB198"/>
      <c r="DD198"/>
      <c r="DF198"/>
      <c r="ED198" s="184"/>
      <c r="EF198" s="184"/>
      <c r="EH198" s="184"/>
      <c r="EJ198" s="184"/>
      <c r="EL198" s="184"/>
      <c r="EN198" s="184"/>
      <c r="EP198" s="184"/>
      <c r="ER198" s="184"/>
      <c r="ET198" s="184"/>
      <c r="EV198" s="184"/>
      <c r="EX198" s="184"/>
      <c r="EZ198" s="184"/>
      <c r="FB198" s="184"/>
    </row>
    <row r="199" spans="1:158">
      <c r="A199" s="184">
        <f t="shared" si="368"/>
        <v>29.5</v>
      </c>
      <c r="B199" s="18">
        <f t="shared" si="405"/>
        <v>8450</v>
      </c>
      <c r="C199" s="18">
        <f t="shared" si="482"/>
        <v>10916.666666666652</v>
      </c>
      <c r="D199" s="18">
        <f t="shared" si="483"/>
        <v>14441.666666666652</v>
      </c>
      <c r="E199" s="18">
        <f t="shared" si="458"/>
        <v>16641.666666666653</v>
      </c>
      <c r="F199" s="18">
        <f t="shared" si="459"/>
        <v>8158.3333333333258</v>
      </c>
      <c r="G199" s="18">
        <f t="shared" si="460"/>
        <v>10508.333333333348</v>
      </c>
      <c r="H199" s="18">
        <f t="shared" si="461"/>
        <v>14500</v>
      </c>
      <c r="I199" s="18">
        <f t="shared" si="462"/>
        <v>8391.6666666666715</v>
      </c>
      <c r="J199" s="18">
        <f t="shared" si="463"/>
        <v>11133.333333333348</v>
      </c>
      <c r="K199" s="18">
        <f t="shared" si="464"/>
        <v>14091.666666666652</v>
      </c>
      <c r="L199" s="18">
        <f t="shared" si="465"/>
        <v>16816.666666666657</v>
      </c>
      <c r="M199" s="18">
        <f t="shared" si="466"/>
        <v>20833.333333333307</v>
      </c>
      <c r="N199" s="18">
        <f t="shared" si="467"/>
        <v>12175</v>
      </c>
      <c r="O199" s="18">
        <f t="shared" si="468"/>
        <v>14541.666666666652</v>
      </c>
      <c r="P199" s="18">
        <f t="shared" si="469"/>
        <v>18275</v>
      </c>
      <c r="Q199" s="18">
        <f t="shared" si="470"/>
        <v>21033.333333333303</v>
      </c>
      <c r="R199" s="18">
        <f t="shared" si="471"/>
        <v>29725</v>
      </c>
      <c r="S199" s="18">
        <f t="shared" si="472"/>
        <v>18208.333333333318</v>
      </c>
      <c r="T199" s="18">
        <f t="shared" si="473"/>
        <v>21004.166666666697</v>
      </c>
      <c r="U199" s="18">
        <f t="shared" si="474"/>
        <v>24362.433333333342</v>
      </c>
      <c r="V199" s="18">
        <f t="shared" si="475"/>
        <v>29826.000000000036</v>
      </c>
      <c r="W199" s="18">
        <f t="shared" si="476"/>
        <v>37448.200000000063</v>
      </c>
      <c r="X199" s="18">
        <f t="shared" si="477"/>
        <v>41431.499999999964</v>
      </c>
      <c r="Y199" s="18">
        <f t="shared" si="478"/>
        <v>47583.333333333394</v>
      </c>
      <c r="Z199" s="18">
        <f t="shared" si="478"/>
        <v>35973.33333333335</v>
      </c>
      <c r="AA199" s="18">
        <f t="shared" ref="AA199:AB199" si="521">AA198+(AA$234-AA$174)/60</f>
        <v>44346.666666666606</v>
      </c>
      <c r="AB199" s="18">
        <f t="shared" si="521"/>
        <v>55990</v>
      </c>
      <c r="AC199" s="18">
        <f t="shared" si="477"/>
        <v>12075</v>
      </c>
      <c r="AD199" s="18">
        <f t="shared" ref="AD199:AR199" si="522">AD198+(AD$234-AD$174)/60</f>
        <v>14616.666666666652</v>
      </c>
      <c r="AE199" s="18">
        <f t="shared" si="522"/>
        <v>16683.333333333343</v>
      </c>
      <c r="AF199" s="18">
        <f t="shared" si="522"/>
        <v>20500</v>
      </c>
      <c r="AG199" s="18">
        <f t="shared" si="522"/>
        <v>24341.666666666697</v>
      </c>
      <c r="AH199" s="18">
        <f t="shared" ref="AH199:AK199" si="523">AH198+(AH$234-AH$174)/60</f>
        <v>15733.333333333348</v>
      </c>
      <c r="AI199" s="18">
        <f t="shared" si="523"/>
        <v>18133.333333333325</v>
      </c>
      <c r="AJ199" s="18">
        <f t="shared" si="523"/>
        <v>22375</v>
      </c>
      <c r="AK199" s="18">
        <f t="shared" si="523"/>
        <v>25500</v>
      </c>
      <c r="AL199" s="18">
        <f t="shared" si="522"/>
        <v>22000</v>
      </c>
      <c r="AM199" s="18">
        <f t="shared" si="522"/>
        <v>25000</v>
      </c>
      <c r="AN199" s="18">
        <f t="shared" si="522"/>
        <v>28600</v>
      </c>
      <c r="AO199" s="18">
        <f t="shared" si="522"/>
        <v>45000</v>
      </c>
      <c r="AP199" s="18">
        <f t="shared" si="522"/>
        <v>48000</v>
      </c>
      <c r="AQ199" s="18">
        <f t="shared" si="522"/>
        <v>54000</v>
      </c>
      <c r="AR199" s="18">
        <f t="shared" si="522"/>
        <v>147200</v>
      </c>
      <c r="AS199" s="18">
        <f t="shared" si="412"/>
        <v>19891.304347826088</v>
      </c>
      <c r="AT199" s="184" t="str">
        <f t="shared" si="414"/>
        <v/>
      </c>
      <c r="AU199" s="184" t="str">
        <f t="shared" si="415"/>
        <v/>
      </c>
      <c r="AV199" s="184" t="str">
        <f t="shared" si="416"/>
        <v/>
      </c>
      <c r="AW199" s="184" t="str">
        <f t="shared" si="417"/>
        <v/>
      </c>
      <c r="AX199" s="184" t="str">
        <f t="shared" si="418"/>
        <v/>
      </c>
      <c r="AY199" s="184" t="str">
        <f t="shared" si="419"/>
        <v/>
      </c>
      <c r="AZ199" s="184" t="str">
        <f t="shared" si="420"/>
        <v/>
      </c>
      <c r="BA199" s="184" t="str">
        <f t="shared" si="421"/>
        <v/>
      </c>
      <c r="BB199" s="184" t="str">
        <f t="shared" si="422"/>
        <v/>
      </c>
      <c r="BC199" s="184" t="str">
        <f t="shared" si="423"/>
        <v/>
      </c>
      <c r="BD199" s="184" t="str">
        <f t="shared" si="424"/>
        <v/>
      </c>
      <c r="BE199" s="184" t="str">
        <f t="shared" si="425"/>
        <v/>
      </c>
      <c r="BF199" s="184" t="str">
        <f t="shared" si="426"/>
        <v/>
      </c>
      <c r="BG199" s="184" t="str">
        <f t="shared" si="427"/>
        <v/>
      </c>
      <c r="BH199" s="184" t="str">
        <f t="shared" si="428"/>
        <v/>
      </c>
      <c r="BI199" s="184" t="str">
        <f t="shared" si="429"/>
        <v/>
      </c>
      <c r="BJ199" s="184" t="str">
        <f t="shared" si="430"/>
        <v/>
      </c>
      <c r="BK199" s="184" t="str">
        <f t="shared" si="431"/>
        <v/>
      </c>
      <c r="BL199" s="184" t="str">
        <f t="shared" si="432"/>
        <v/>
      </c>
      <c r="BM199" s="184" t="str">
        <f t="shared" si="433"/>
        <v/>
      </c>
      <c r="BN199" s="184" t="str">
        <f t="shared" si="434"/>
        <v/>
      </c>
      <c r="BO199" s="184" t="str">
        <f t="shared" si="435"/>
        <v/>
      </c>
      <c r="BP199" s="184" t="str">
        <f t="shared" si="436"/>
        <v/>
      </c>
      <c r="BQ199" s="184" t="str">
        <f t="shared" si="437"/>
        <v/>
      </c>
      <c r="BR199" s="184" t="str">
        <f t="shared" si="520"/>
        <v/>
      </c>
      <c r="BS199" s="184" t="str">
        <f t="shared" si="520"/>
        <v/>
      </c>
      <c r="BT199" s="184" t="str">
        <f t="shared" si="520"/>
        <v/>
      </c>
      <c r="BU199" s="184" t="str">
        <f t="shared" si="439"/>
        <v/>
      </c>
      <c r="BV199" s="184" t="str">
        <f t="shared" si="440"/>
        <v/>
      </c>
      <c r="BW199" s="184" t="str">
        <f t="shared" si="441"/>
        <v/>
      </c>
      <c r="BX199" s="184" t="str">
        <f t="shared" si="442"/>
        <v/>
      </c>
      <c r="BY199" s="184" t="str">
        <f t="shared" si="443"/>
        <v/>
      </c>
      <c r="BZ199" s="184" t="str">
        <f t="shared" si="444"/>
        <v/>
      </c>
      <c r="CA199" s="184" t="str">
        <f t="shared" si="445"/>
        <v/>
      </c>
      <c r="CB199" s="184" t="str">
        <f t="shared" si="446"/>
        <v/>
      </c>
      <c r="CC199" s="184" t="str">
        <f t="shared" si="447"/>
        <v/>
      </c>
      <c r="CD199" s="184" t="str">
        <f t="shared" si="448"/>
        <v/>
      </c>
      <c r="CE199" s="184" t="str">
        <f t="shared" si="449"/>
        <v/>
      </c>
      <c r="CF199" s="184" t="str">
        <f t="shared" si="450"/>
        <v/>
      </c>
      <c r="CG199" s="184" t="str">
        <f t="shared" si="451"/>
        <v/>
      </c>
      <c r="CH199" s="184" t="str">
        <f t="shared" si="452"/>
        <v/>
      </c>
      <c r="CI199" s="184" t="str">
        <f t="shared" si="453"/>
        <v/>
      </c>
      <c r="CJ199" s="184" t="str">
        <f t="shared" si="454"/>
        <v/>
      </c>
      <c r="CK199" s="184"/>
      <c r="CM199" s="184"/>
      <c r="CN199"/>
      <c r="CP199"/>
      <c r="CR199"/>
      <c r="CT199"/>
      <c r="CV199"/>
      <c r="CX199"/>
      <c r="CZ199"/>
      <c r="DB199"/>
      <c r="DD199"/>
      <c r="DF199"/>
      <c r="ED199" s="184"/>
      <c r="EF199" s="184"/>
      <c r="EH199" s="184"/>
      <c r="EJ199" s="184"/>
      <c r="EL199" s="184"/>
      <c r="EN199" s="184"/>
      <c r="EP199" s="184"/>
      <c r="ER199" s="184"/>
      <c r="ET199" s="184"/>
      <c r="EV199" s="184"/>
      <c r="EX199" s="184"/>
      <c r="EZ199" s="184"/>
      <c r="FB199" s="184"/>
    </row>
    <row r="200" spans="1:158">
      <c r="A200" s="184">
        <f t="shared" si="368"/>
        <v>30</v>
      </c>
      <c r="B200" s="18">
        <f t="shared" si="405"/>
        <v>8520</v>
      </c>
      <c r="C200" s="18">
        <f t="shared" si="482"/>
        <v>10993.333333333318</v>
      </c>
      <c r="D200" s="18">
        <f t="shared" si="483"/>
        <v>14543.333333333318</v>
      </c>
      <c r="E200" s="18">
        <f t="shared" si="458"/>
        <v>16783.333333333321</v>
      </c>
      <c r="F200" s="18">
        <f t="shared" si="459"/>
        <v>8236.6666666666588</v>
      </c>
      <c r="G200" s="18">
        <f t="shared" si="460"/>
        <v>10596.666666666682</v>
      </c>
      <c r="H200" s="18">
        <f t="shared" si="461"/>
        <v>14600</v>
      </c>
      <c r="I200" s="18">
        <f t="shared" si="462"/>
        <v>8463.3333333333376</v>
      </c>
      <c r="J200" s="18">
        <f t="shared" si="463"/>
        <v>11226.666666666682</v>
      </c>
      <c r="K200" s="18">
        <f t="shared" si="464"/>
        <v>14203.333333333318</v>
      </c>
      <c r="L200" s="18">
        <f t="shared" si="465"/>
        <v>16953.333333333325</v>
      </c>
      <c r="M200" s="18">
        <f t="shared" si="466"/>
        <v>21026.666666666639</v>
      </c>
      <c r="N200" s="18">
        <f t="shared" si="467"/>
        <v>12230</v>
      </c>
      <c r="O200" s="18">
        <f t="shared" si="468"/>
        <v>14643.333333333318</v>
      </c>
      <c r="P200" s="18">
        <f t="shared" si="469"/>
        <v>18350</v>
      </c>
      <c r="Q200" s="18">
        <f t="shared" si="470"/>
        <v>21146.666666666635</v>
      </c>
      <c r="R200" s="18">
        <f t="shared" si="471"/>
        <v>29930</v>
      </c>
      <c r="S200" s="18">
        <f t="shared" si="472"/>
        <v>18316.66666666665</v>
      </c>
      <c r="T200" s="18">
        <f t="shared" si="473"/>
        <v>21118.333333333365</v>
      </c>
      <c r="U200" s="18">
        <f t="shared" si="474"/>
        <v>24483.506666666675</v>
      </c>
      <c r="V200" s="18">
        <f t="shared" si="475"/>
        <v>30002.400000000038</v>
      </c>
      <c r="W200" s="18">
        <f t="shared" si="476"/>
        <v>37669.680000000066</v>
      </c>
      <c r="X200" s="18">
        <f t="shared" si="477"/>
        <v>41790.599999999962</v>
      </c>
      <c r="Y200" s="18">
        <f t="shared" si="478"/>
        <v>47766.66666666673</v>
      </c>
      <c r="Z200" s="18">
        <f t="shared" si="478"/>
        <v>36202.666666666686</v>
      </c>
      <c r="AA200" s="18">
        <f t="shared" ref="AA200:AB200" si="524">AA199+(AA$234-AA$174)/60</f>
        <v>44565.33333333327</v>
      </c>
      <c r="AB200" s="18">
        <f t="shared" si="524"/>
        <v>56276</v>
      </c>
      <c r="AC200" s="18">
        <f t="shared" si="477"/>
        <v>12130</v>
      </c>
      <c r="AD200" s="18">
        <f t="shared" ref="AD200:AR200" si="525">AD199+(AD$234-AD$174)/60</f>
        <v>14713.333333333318</v>
      </c>
      <c r="AE200" s="18">
        <f t="shared" si="525"/>
        <v>16806.666666666675</v>
      </c>
      <c r="AF200" s="18">
        <f t="shared" si="525"/>
        <v>20600</v>
      </c>
      <c r="AG200" s="18">
        <f t="shared" si="525"/>
        <v>24503.333333333365</v>
      </c>
      <c r="AH200" s="18">
        <f t="shared" ref="AH200:AK200" si="526">AH199+(AH$234-AH$174)/60</f>
        <v>15826.666666666682</v>
      </c>
      <c r="AI200" s="18">
        <f t="shared" si="526"/>
        <v>18266.666666666657</v>
      </c>
      <c r="AJ200" s="18">
        <f t="shared" si="526"/>
        <v>22450</v>
      </c>
      <c r="AK200" s="18">
        <f t="shared" si="526"/>
        <v>25600</v>
      </c>
      <c r="AL200" s="18">
        <f t="shared" si="525"/>
        <v>22000</v>
      </c>
      <c r="AM200" s="18">
        <f t="shared" si="525"/>
        <v>25000</v>
      </c>
      <c r="AN200" s="18">
        <f t="shared" si="525"/>
        <v>28600</v>
      </c>
      <c r="AO200" s="18">
        <f t="shared" si="525"/>
        <v>45000</v>
      </c>
      <c r="AP200" s="18">
        <f t="shared" si="525"/>
        <v>48000</v>
      </c>
      <c r="AQ200" s="18">
        <f t="shared" si="525"/>
        <v>54000</v>
      </c>
      <c r="AR200" s="18">
        <f t="shared" si="525"/>
        <v>147200</v>
      </c>
      <c r="AS200" s="18">
        <f t="shared" si="412"/>
        <v>19565.217391304348</v>
      </c>
      <c r="AT200" s="184" t="str">
        <f t="shared" si="414"/>
        <v/>
      </c>
      <c r="AU200" s="184" t="str">
        <f t="shared" si="415"/>
        <v/>
      </c>
      <c r="AV200" s="184" t="str">
        <f t="shared" si="416"/>
        <v/>
      </c>
      <c r="AW200" s="184" t="str">
        <f t="shared" si="417"/>
        <v/>
      </c>
      <c r="AX200" s="184" t="str">
        <f t="shared" si="418"/>
        <v/>
      </c>
      <c r="AY200" s="184" t="str">
        <f t="shared" si="419"/>
        <v/>
      </c>
      <c r="AZ200" s="184" t="str">
        <f t="shared" si="420"/>
        <v/>
      </c>
      <c r="BA200" s="184" t="str">
        <f t="shared" si="421"/>
        <v/>
      </c>
      <c r="BB200" s="184" t="str">
        <f t="shared" si="422"/>
        <v/>
      </c>
      <c r="BC200" s="184" t="str">
        <f t="shared" si="423"/>
        <v/>
      </c>
      <c r="BD200" s="184" t="str">
        <f t="shared" si="424"/>
        <v/>
      </c>
      <c r="BE200" s="184" t="str">
        <f t="shared" si="425"/>
        <v/>
      </c>
      <c r="BF200" s="184" t="str">
        <f t="shared" si="426"/>
        <v/>
      </c>
      <c r="BG200" s="184" t="str">
        <f t="shared" si="427"/>
        <v/>
      </c>
      <c r="BH200" s="184" t="str">
        <f t="shared" si="428"/>
        <v/>
      </c>
      <c r="BI200" s="184" t="str">
        <f t="shared" si="429"/>
        <v/>
      </c>
      <c r="BJ200" s="184" t="str">
        <f t="shared" si="430"/>
        <v/>
      </c>
      <c r="BK200" s="184" t="str">
        <f t="shared" si="431"/>
        <v/>
      </c>
      <c r="BL200" s="184" t="str">
        <f t="shared" si="432"/>
        <v/>
      </c>
      <c r="BM200" s="184" t="str">
        <f t="shared" si="433"/>
        <v/>
      </c>
      <c r="BN200" s="184" t="str">
        <f t="shared" si="434"/>
        <v/>
      </c>
      <c r="BO200" s="184" t="str">
        <f t="shared" si="435"/>
        <v/>
      </c>
      <c r="BP200" s="184" t="str">
        <f t="shared" si="436"/>
        <v/>
      </c>
      <c r="BQ200" s="184" t="str">
        <f t="shared" si="437"/>
        <v/>
      </c>
      <c r="BR200" s="184" t="str">
        <f t="shared" si="520"/>
        <v/>
      </c>
      <c r="BS200" s="184" t="str">
        <f t="shared" si="520"/>
        <v/>
      </c>
      <c r="BT200" s="184" t="str">
        <f t="shared" si="520"/>
        <v/>
      </c>
      <c r="BU200" s="184" t="str">
        <f t="shared" si="439"/>
        <v/>
      </c>
      <c r="BV200" s="184" t="str">
        <f t="shared" si="440"/>
        <v/>
      </c>
      <c r="BW200" s="184" t="str">
        <f t="shared" si="441"/>
        <v/>
      </c>
      <c r="BX200" s="184" t="str">
        <f t="shared" si="442"/>
        <v/>
      </c>
      <c r="BY200" s="184" t="str">
        <f t="shared" si="443"/>
        <v/>
      </c>
      <c r="BZ200" s="184" t="str">
        <f t="shared" si="444"/>
        <v/>
      </c>
      <c r="CA200" s="184" t="str">
        <f t="shared" si="445"/>
        <v/>
      </c>
      <c r="CB200" s="184" t="str">
        <f t="shared" si="446"/>
        <v/>
      </c>
      <c r="CC200" s="184" t="str">
        <f t="shared" si="447"/>
        <v/>
      </c>
      <c r="CD200" s="184" t="str">
        <f t="shared" si="448"/>
        <v/>
      </c>
      <c r="CE200" s="184" t="str">
        <f t="shared" si="449"/>
        <v/>
      </c>
      <c r="CF200" s="184" t="str">
        <f t="shared" si="450"/>
        <v/>
      </c>
      <c r="CG200" s="184" t="str">
        <f t="shared" si="451"/>
        <v/>
      </c>
      <c r="CH200" s="184" t="str">
        <f t="shared" si="452"/>
        <v/>
      </c>
      <c r="CI200" s="184" t="str">
        <f t="shared" si="453"/>
        <v/>
      </c>
      <c r="CJ200" s="184" t="str">
        <f t="shared" si="454"/>
        <v/>
      </c>
      <c r="CK200" s="184"/>
      <c r="CM200" s="184"/>
      <c r="CN200"/>
      <c r="CP200"/>
      <c r="CR200"/>
      <c r="CT200"/>
      <c r="CV200"/>
      <c r="CX200"/>
      <c r="CZ200"/>
      <c r="DB200"/>
      <c r="DD200"/>
      <c r="DF200"/>
      <c r="ED200" s="184"/>
      <c r="EF200" s="184"/>
      <c r="EH200" s="184"/>
      <c r="EJ200" s="184"/>
      <c r="EL200" s="184"/>
      <c r="EN200" s="184"/>
      <c r="EP200" s="184"/>
      <c r="ER200" s="184"/>
      <c r="ET200" s="184"/>
      <c r="EV200" s="184"/>
      <c r="EX200" s="184"/>
      <c r="EZ200" s="184"/>
      <c r="FB200" s="184"/>
    </row>
    <row r="201" spans="1:158">
      <c r="A201" s="184">
        <f t="shared" si="368"/>
        <v>30.5</v>
      </c>
      <c r="B201" s="18">
        <f t="shared" si="405"/>
        <v>8590</v>
      </c>
      <c r="C201" s="18">
        <f t="shared" si="482"/>
        <v>11069.999999999984</v>
      </c>
      <c r="D201" s="18">
        <f t="shared" si="483"/>
        <v>14644.999999999984</v>
      </c>
      <c r="E201" s="18">
        <f t="shared" si="458"/>
        <v>16924.999999999989</v>
      </c>
      <c r="F201" s="18">
        <f t="shared" si="459"/>
        <v>8314.9999999999927</v>
      </c>
      <c r="G201" s="18">
        <f t="shared" si="460"/>
        <v>10685.000000000016</v>
      </c>
      <c r="H201" s="18">
        <f t="shared" si="461"/>
        <v>14700</v>
      </c>
      <c r="I201" s="18">
        <f t="shared" si="462"/>
        <v>8535.0000000000036</v>
      </c>
      <c r="J201" s="18">
        <f t="shared" si="463"/>
        <v>11320.000000000016</v>
      </c>
      <c r="K201" s="18">
        <f t="shared" si="464"/>
        <v>14314.999999999984</v>
      </c>
      <c r="L201" s="18">
        <f t="shared" si="465"/>
        <v>17089.999999999993</v>
      </c>
      <c r="M201" s="18">
        <f t="shared" si="466"/>
        <v>21219.999999999971</v>
      </c>
      <c r="N201" s="18">
        <f t="shared" si="467"/>
        <v>12285</v>
      </c>
      <c r="O201" s="18">
        <f t="shared" si="468"/>
        <v>14744.999999999984</v>
      </c>
      <c r="P201" s="18">
        <f t="shared" si="469"/>
        <v>18425</v>
      </c>
      <c r="Q201" s="18">
        <f t="shared" si="470"/>
        <v>21259.999999999967</v>
      </c>
      <c r="R201" s="18">
        <f t="shared" si="471"/>
        <v>30135</v>
      </c>
      <c r="S201" s="18">
        <f t="shared" si="472"/>
        <v>18424.999999999982</v>
      </c>
      <c r="T201" s="18">
        <f t="shared" si="473"/>
        <v>21232.500000000033</v>
      </c>
      <c r="U201" s="18">
        <f t="shared" si="474"/>
        <v>24604.580000000009</v>
      </c>
      <c r="V201" s="18">
        <f t="shared" si="475"/>
        <v>30178.800000000039</v>
      </c>
      <c r="W201" s="18">
        <f t="shared" si="476"/>
        <v>37891.160000000069</v>
      </c>
      <c r="X201" s="18">
        <f t="shared" si="477"/>
        <v>42149.699999999961</v>
      </c>
      <c r="Y201" s="18">
        <f t="shared" si="478"/>
        <v>47950.000000000065</v>
      </c>
      <c r="Z201" s="18">
        <f t="shared" si="478"/>
        <v>36432.000000000022</v>
      </c>
      <c r="AA201" s="18">
        <f t="shared" ref="AA201:AB201" si="527">AA200+(AA$234-AA$174)/60</f>
        <v>44783.999999999935</v>
      </c>
      <c r="AB201" s="18">
        <f t="shared" si="527"/>
        <v>56562</v>
      </c>
      <c r="AC201" s="18">
        <f t="shared" si="477"/>
        <v>12185</v>
      </c>
      <c r="AD201" s="18">
        <f t="shared" ref="AD201:AR201" si="528">AD200+(AD$234-AD$174)/60</f>
        <v>14809.999999999984</v>
      </c>
      <c r="AE201" s="18">
        <f t="shared" si="528"/>
        <v>16930.000000000007</v>
      </c>
      <c r="AF201" s="18">
        <f t="shared" si="528"/>
        <v>20700</v>
      </c>
      <c r="AG201" s="18">
        <f t="shared" si="528"/>
        <v>24665.000000000033</v>
      </c>
      <c r="AH201" s="18">
        <f t="shared" ref="AH201:AK201" si="529">AH200+(AH$234-AH$174)/60</f>
        <v>15920.000000000016</v>
      </c>
      <c r="AI201" s="18">
        <f t="shared" si="529"/>
        <v>18399.999999999989</v>
      </c>
      <c r="AJ201" s="18">
        <f t="shared" si="529"/>
        <v>22525</v>
      </c>
      <c r="AK201" s="18">
        <f t="shared" si="529"/>
        <v>25700</v>
      </c>
      <c r="AL201" s="18">
        <f t="shared" si="528"/>
        <v>22000</v>
      </c>
      <c r="AM201" s="18">
        <f t="shared" si="528"/>
        <v>25000</v>
      </c>
      <c r="AN201" s="18">
        <f t="shared" si="528"/>
        <v>28600</v>
      </c>
      <c r="AO201" s="18">
        <f t="shared" si="528"/>
        <v>45000</v>
      </c>
      <c r="AP201" s="18">
        <f t="shared" si="528"/>
        <v>48000</v>
      </c>
      <c r="AQ201" s="18">
        <f t="shared" si="528"/>
        <v>54000</v>
      </c>
      <c r="AR201" s="18">
        <f t="shared" si="528"/>
        <v>147200</v>
      </c>
      <c r="AS201" s="18">
        <f t="shared" si="412"/>
        <v>19239.130434782608</v>
      </c>
      <c r="AT201" s="184" t="str">
        <f t="shared" si="414"/>
        <v/>
      </c>
      <c r="AU201" s="184" t="str">
        <f t="shared" si="415"/>
        <v/>
      </c>
      <c r="AV201" s="184" t="str">
        <f t="shared" si="416"/>
        <v/>
      </c>
      <c r="AW201" s="184" t="str">
        <f t="shared" si="417"/>
        <v/>
      </c>
      <c r="AX201" s="184" t="str">
        <f t="shared" si="418"/>
        <v/>
      </c>
      <c r="AY201" s="184" t="str">
        <f t="shared" si="419"/>
        <v/>
      </c>
      <c r="AZ201" s="184" t="str">
        <f t="shared" si="420"/>
        <v/>
      </c>
      <c r="BA201" s="184" t="str">
        <f t="shared" si="421"/>
        <v/>
      </c>
      <c r="BB201" s="184" t="str">
        <f t="shared" si="422"/>
        <v/>
      </c>
      <c r="BC201" s="184" t="str">
        <f t="shared" si="423"/>
        <v/>
      </c>
      <c r="BD201" s="184" t="str">
        <f t="shared" si="424"/>
        <v/>
      </c>
      <c r="BE201" s="184" t="str">
        <f t="shared" si="425"/>
        <v/>
      </c>
      <c r="BF201" s="184" t="str">
        <f t="shared" si="426"/>
        <v/>
      </c>
      <c r="BG201" s="184" t="str">
        <f t="shared" si="427"/>
        <v/>
      </c>
      <c r="BH201" s="184" t="str">
        <f t="shared" si="428"/>
        <v/>
      </c>
      <c r="BI201" s="184" t="str">
        <f t="shared" si="429"/>
        <v/>
      </c>
      <c r="BJ201" s="184" t="str">
        <f t="shared" si="430"/>
        <v/>
      </c>
      <c r="BK201" s="184" t="str">
        <f t="shared" si="431"/>
        <v/>
      </c>
      <c r="BL201" s="184" t="str">
        <f t="shared" si="432"/>
        <v/>
      </c>
      <c r="BM201" s="184" t="str">
        <f t="shared" si="433"/>
        <v/>
      </c>
      <c r="BN201" s="184" t="str">
        <f t="shared" si="434"/>
        <v/>
      </c>
      <c r="BO201" s="184" t="str">
        <f t="shared" si="435"/>
        <v/>
      </c>
      <c r="BP201" s="184" t="str">
        <f t="shared" si="436"/>
        <v/>
      </c>
      <c r="BQ201" s="184" t="str">
        <f t="shared" si="437"/>
        <v/>
      </c>
      <c r="BR201" s="184" t="str">
        <f t="shared" si="520"/>
        <v/>
      </c>
      <c r="BS201" s="184" t="str">
        <f t="shared" si="520"/>
        <v/>
      </c>
      <c r="BT201" s="184" t="str">
        <f t="shared" si="520"/>
        <v/>
      </c>
      <c r="BU201" s="184" t="str">
        <f t="shared" si="439"/>
        <v/>
      </c>
      <c r="BV201" s="184" t="str">
        <f t="shared" si="440"/>
        <v/>
      </c>
      <c r="BW201" s="184" t="str">
        <f t="shared" si="441"/>
        <v/>
      </c>
      <c r="BX201" s="184" t="str">
        <f t="shared" si="442"/>
        <v/>
      </c>
      <c r="BY201" s="184" t="str">
        <f t="shared" si="443"/>
        <v/>
      </c>
      <c r="BZ201" s="184" t="str">
        <f t="shared" si="444"/>
        <v/>
      </c>
      <c r="CA201" s="184" t="str">
        <f t="shared" si="445"/>
        <v/>
      </c>
      <c r="CB201" s="184" t="str">
        <f t="shared" si="446"/>
        <v/>
      </c>
      <c r="CC201" s="184" t="str">
        <f t="shared" si="447"/>
        <v/>
      </c>
      <c r="CD201" s="184" t="str">
        <f t="shared" si="448"/>
        <v/>
      </c>
      <c r="CE201" s="184" t="str">
        <f t="shared" si="449"/>
        <v/>
      </c>
      <c r="CF201" s="184" t="str">
        <f t="shared" si="450"/>
        <v/>
      </c>
      <c r="CG201" s="184" t="str">
        <f t="shared" si="451"/>
        <v/>
      </c>
      <c r="CH201" s="184" t="str">
        <f t="shared" si="452"/>
        <v/>
      </c>
      <c r="CI201" s="184" t="str">
        <f t="shared" si="453"/>
        <v/>
      </c>
      <c r="CJ201" s="184" t="str">
        <f t="shared" si="454"/>
        <v/>
      </c>
      <c r="CK201" s="184"/>
      <c r="CM201" s="184"/>
      <c r="CN201"/>
      <c r="CP201"/>
      <c r="CR201"/>
      <c r="CT201"/>
      <c r="CV201"/>
      <c r="CX201"/>
      <c r="CZ201"/>
      <c r="DB201"/>
      <c r="DD201"/>
      <c r="DF201"/>
      <c r="ED201" s="184"/>
      <c r="EF201" s="184"/>
      <c r="EH201" s="184"/>
      <c r="EJ201" s="184"/>
      <c r="EL201" s="184"/>
      <c r="EN201" s="184"/>
      <c r="EP201" s="184"/>
      <c r="ER201" s="184"/>
      <c r="ET201" s="184"/>
      <c r="EV201" s="184"/>
      <c r="EX201" s="184"/>
      <c r="EZ201" s="184"/>
      <c r="FB201" s="184"/>
    </row>
    <row r="202" spans="1:158">
      <c r="A202" s="184">
        <f t="shared" si="368"/>
        <v>31</v>
      </c>
      <c r="B202" s="18">
        <f t="shared" si="405"/>
        <v>8660</v>
      </c>
      <c r="C202" s="18">
        <f t="shared" si="482"/>
        <v>11146.66666666665</v>
      </c>
      <c r="D202" s="18">
        <f t="shared" si="483"/>
        <v>14746.66666666665</v>
      </c>
      <c r="E202" s="18">
        <f t="shared" si="458"/>
        <v>17066.666666666657</v>
      </c>
      <c r="F202" s="18">
        <f t="shared" si="459"/>
        <v>8393.3333333333267</v>
      </c>
      <c r="G202" s="18">
        <f t="shared" si="460"/>
        <v>10773.33333333335</v>
      </c>
      <c r="H202" s="18">
        <f t="shared" si="461"/>
        <v>14800</v>
      </c>
      <c r="I202" s="18">
        <f t="shared" si="462"/>
        <v>8606.6666666666697</v>
      </c>
      <c r="J202" s="18">
        <f t="shared" si="463"/>
        <v>11413.33333333335</v>
      </c>
      <c r="K202" s="18">
        <f t="shared" si="464"/>
        <v>14426.66666666665</v>
      </c>
      <c r="L202" s="18">
        <f t="shared" si="465"/>
        <v>17226.666666666661</v>
      </c>
      <c r="M202" s="18">
        <f t="shared" si="466"/>
        <v>21413.333333333303</v>
      </c>
      <c r="N202" s="18">
        <f t="shared" si="467"/>
        <v>12340</v>
      </c>
      <c r="O202" s="18">
        <f t="shared" si="468"/>
        <v>14846.66666666665</v>
      </c>
      <c r="P202" s="18">
        <f t="shared" si="469"/>
        <v>18500</v>
      </c>
      <c r="Q202" s="18">
        <f t="shared" si="470"/>
        <v>21373.333333333299</v>
      </c>
      <c r="R202" s="18">
        <f t="shared" si="471"/>
        <v>30340</v>
      </c>
      <c r="S202" s="18">
        <f t="shared" si="472"/>
        <v>18533.333333333314</v>
      </c>
      <c r="T202" s="18">
        <f t="shared" si="473"/>
        <v>21346.666666666701</v>
      </c>
      <c r="U202" s="18">
        <f t="shared" si="474"/>
        <v>24725.653333333343</v>
      </c>
      <c r="V202" s="18">
        <f t="shared" si="475"/>
        <v>30355.200000000041</v>
      </c>
      <c r="W202" s="18">
        <f t="shared" si="476"/>
        <v>38112.640000000072</v>
      </c>
      <c r="X202" s="18">
        <f t="shared" si="477"/>
        <v>42508.799999999959</v>
      </c>
      <c r="Y202" s="18">
        <f t="shared" si="478"/>
        <v>48133.333333333401</v>
      </c>
      <c r="Z202" s="18">
        <f t="shared" si="478"/>
        <v>36661.333333333358</v>
      </c>
      <c r="AA202" s="18">
        <f t="shared" ref="AA202:AB202" si="530">AA201+(AA$234-AA$174)/60</f>
        <v>45002.666666666599</v>
      </c>
      <c r="AB202" s="18">
        <f t="shared" si="530"/>
        <v>56848</v>
      </c>
      <c r="AC202" s="18">
        <f t="shared" si="477"/>
        <v>12240</v>
      </c>
      <c r="AD202" s="18">
        <f t="shared" ref="AD202:AR202" si="531">AD201+(AD$234-AD$174)/60</f>
        <v>14906.66666666665</v>
      </c>
      <c r="AE202" s="18">
        <f t="shared" si="531"/>
        <v>17053.333333333339</v>
      </c>
      <c r="AF202" s="18">
        <f t="shared" si="531"/>
        <v>20800</v>
      </c>
      <c r="AG202" s="18">
        <f t="shared" si="531"/>
        <v>24826.666666666701</v>
      </c>
      <c r="AH202" s="18">
        <f t="shared" ref="AH202:AK202" si="532">AH201+(AH$234-AH$174)/60</f>
        <v>16013.33333333335</v>
      </c>
      <c r="AI202" s="18">
        <f t="shared" si="532"/>
        <v>18533.333333333321</v>
      </c>
      <c r="AJ202" s="18">
        <f t="shared" si="532"/>
        <v>22600</v>
      </c>
      <c r="AK202" s="18">
        <f t="shared" si="532"/>
        <v>25800</v>
      </c>
      <c r="AL202" s="18">
        <f t="shared" si="531"/>
        <v>22000</v>
      </c>
      <c r="AM202" s="18">
        <f t="shared" si="531"/>
        <v>25000</v>
      </c>
      <c r="AN202" s="18">
        <f t="shared" si="531"/>
        <v>28600</v>
      </c>
      <c r="AO202" s="18">
        <f t="shared" si="531"/>
        <v>45000</v>
      </c>
      <c r="AP202" s="18">
        <f t="shared" si="531"/>
        <v>48000</v>
      </c>
      <c r="AQ202" s="18">
        <f t="shared" si="531"/>
        <v>54000</v>
      </c>
      <c r="AR202" s="18">
        <f t="shared" si="531"/>
        <v>147200</v>
      </c>
      <c r="AS202" s="18">
        <f t="shared" si="412"/>
        <v>18913.043478260868</v>
      </c>
      <c r="AT202" s="184" t="str">
        <f t="shared" si="414"/>
        <v/>
      </c>
      <c r="AU202" s="184" t="str">
        <f t="shared" si="415"/>
        <v/>
      </c>
      <c r="AV202" s="184" t="str">
        <f t="shared" si="416"/>
        <v/>
      </c>
      <c r="AW202" s="184" t="str">
        <f t="shared" si="417"/>
        <v/>
      </c>
      <c r="AX202" s="184" t="str">
        <f t="shared" si="418"/>
        <v/>
      </c>
      <c r="AY202" s="184" t="str">
        <f t="shared" si="419"/>
        <v/>
      </c>
      <c r="AZ202" s="184" t="str">
        <f t="shared" si="420"/>
        <v/>
      </c>
      <c r="BA202" s="184" t="str">
        <f t="shared" si="421"/>
        <v/>
      </c>
      <c r="BB202" s="184" t="str">
        <f t="shared" si="422"/>
        <v/>
      </c>
      <c r="BC202" s="184" t="str">
        <f t="shared" si="423"/>
        <v/>
      </c>
      <c r="BD202" s="184" t="str">
        <f t="shared" si="424"/>
        <v/>
      </c>
      <c r="BE202" s="184" t="str">
        <f t="shared" si="425"/>
        <v/>
      </c>
      <c r="BF202" s="184" t="str">
        <f t="shared" si="426"/>
        <v/>
      </c>
      <c r="BG202" s="184" t="str">
        <f t="shared" si="427"/>
        <v/>
      </c>
      <c r="BH202" s="184" t="str">
        <f t="shared" si="428"/>
        <v/>
      </c>
      <c r="BI202" s="184" t="str">
        <f t="shared" si="429"/>
        <v/>
      </c>
      <c r="BJ202" s="184" t="str">
        <f t="shared" si="430"/>
        <v/>
      </c>
      <c r="BK202" s="184" t="str">
        <f t="shared" si="431"/>
        <v/>
      </c>
      <c r="BL202" s="184" t="str">
        <f t="shared" si="432"/>
        <v/>
      </c>
      <c r="BM202" s="184" t="str">
        <f t="shared" si="433"/>
        <v/>
      </c>
      <c r="BN202" s="184" t="str">
        <f t="shared" si="434"/>
        <v/>
      </c>
      <c r="BO202" s="184" t="str">
        <f t="shared" si="435"/>
        <v/>
      </c>
      <c r="BP202" s="184" t="str">
        <f t="shared" si="436"/>
        <v/>
      </c>
      <c r="BQ202" s="184" t="str">
        <f t="shared" si="437"/>
        <v/>
      </c>
      <c r="BR202" s="184" t="str">
        <f t="shared" si="520"/>
        <v/>
      </c>
      <c r="BS202" s="184" t="str">
        <f t="shared" si="520"/>
        <v/>
      </c>
      <c r="BT202" s="184" t="str">
        <f t="shared" si="520"/>
        <v/>
      </c>
      <c r="BU202" s="184" t="str">
        <f t="shared" si="439"/>
        <v/>
      </c>
      <c r="BV202" s="184" t="str">
        <f t="shared" si="440"/>
        <v/>
      </c>
      <c r="BW202" s="184" t="str">
        <f t="shared" si="441"/>
        <v/>
      </c>
      <c r="BX202" s="184" t="str">
        <f t="shared" si="442"/>
        <v/>
      </c>
      <c r="BY202" s="184" t="str">
        <f t="shared" si="443"/>
        <v/>
      </c>
      <c r="BZ202" s="184" t="str">
        <f t="shared" si="444"/>
        <v/>
      </c>
      <c r="CA202" s="184" t="str">
        <f t="shared" si="445"/>
        <v/>
      </c>
      <c r="CB202" s="184" t="str">
        <f t="shared" si="446"/>
        <v/>
      </c>
      <c r="CC202" s="184" t="str">
        <f t="shared" si="447"/>
        <v/>
      </c>
      <c r="CD202" s="184" t="str">
        <f t="shared" si="448"/>
        <v/>
      </c>
      <c r="CE202" s="184" t="str">
        <f t="shared" si="449"/>
        <v/>
      </c>
      <c r="CF202" s="184" t="str">
        <f t="shared" si="450"/>
        <v/>
      </c>
      <c r="CG202" s="184" t="str">
        <f t="shared" si="451"/>
        <v/>
      </c>
      <c r="CH202" s="184" t="str">
        <f t="shared" si="452"/>
        <v/>
      </c>
      <c r="CI202" s="184" t="str">
        <f t="shared" si="453"/>
        <v/>
      </c>
      <c r="CJ202" s="184" t="str">
        <f t="shared" si="454"/>
        <v/>
      </c>
      <c r="CK202" s="184"/>
      <c r="CM202" s="184"/>
      <c r="CN202"/>
      <c r="CP202"/>
      <c r="CR202"/>
      <c r="CT202"/>
      <c r="CV202"/>
      <c r="CX202"/>
      <c r="CZ202"/>
      <c r="DB202"/>
      <c r="DD202"/>
      <c r="DF202"/>
      <c r="ED202" s="184"/>
      <c r="EF202" s="184"/>
      <c r="EH202" s="184"/>
      <c r="EJ202" s="184"/>
      <c r="EL202" s="184"/>
      <c r="EN202" s="184"/>
      <c r="EP202" s="184"/>
      <c r="ER202" s="184"/>
      <c r="ET202" s="184"/>
      <c r="EV202" s="184"/>
      <c r="EX202" s="184"/>
      <c r="EZ202" s="184"/>
      <c r="FB202" s="184"/>
    </row>
    <row r="203" spans="1:158">
      <c r="A203" s="184">
        <f t="shared" si="368"/>
        <v>31.5</v>
      </c>
      <c r="B203" s="18">
        <f t="shared" si="405"/>
        <v>8730</v>
      </c>
      <c r="C203" s="18">
        <f t="shared" si="482"/>
        <v>11223.333333333316</v>
      </c>
      <c r="D203" s="18">
        <f t="shared" si="483"/>
        <v>14848.333333333316</v>
      </c>
      <c r="E203" s="18">
        <f t="shared" si="458"/>
        <v>17208.333333333325</v>
      </c>
      <c r="F203" s="18">
        <f t="shared" si="459"/>
        <v>8471.6666666666606</v>
      </c>
      <c r="G203" s="18">
        <f t="shared" si="460"/>
        <v>10861.666666666684</v>
      </c>
      <c r="H203" s="18">
        <f t="shared" si="461"/>
        <v>14900</v>
      </c>
      <c r="I203" s="18">
        <f t="shared" si="462"/>
        <v>8678.3333333333358</v>
      </c>
      <c r="J203" s="18">
        <f t="shared" si="463"/>
        <v>11506.666666666684</v>
      </c>
      <c r="K203" s="18">
        <f t="shared" si="464"/>
        <v>14538.333333333316</v>
      </c>
      <c r="L203" s="18">
        <f t="shared" si="465"/>
        <v>17363.333333333328</v>
      </c>
      <c r="M203" s="18">
        <f t="shared" si="466"/>
        <v>21606.666666666635</v>
      </c>
      <c r="N203" s="18">
        <f t="shared" si="467"/>
        <v>12395</v>
      </c>
      <c r="O203" s="18">
        <f t="shared" si="468"/>
        <v>14948.333333333316</v>
      </c>
      <c r="P203" s="18">
        <f t="shared" si="469"/>
        <v>18575</v>
      </c>
      <c r="Q203" s="18">
        <f t="shared" si="470"/>
        <v>21486.666666666631</v>
      </c>
      <c r="R203" s="18">
        <f t="shared" si="471"/>
        <v>30545</v>
      </c>
      <c r="S203" s="18">
        <f t="shared" si="472"/>
        <v>18641.666666666646</v>
      </c>
      <c r="T203" s="18">
        <f t="shared" si="473"/>
        <v>21460.833333333369</v>
      </c>
      <c r="U203" s="18">
        <f t="shared" si="474"/>
        <v>24846.726666666676</v>
      </c>
      <c r="V203" s="18">
        <f t="shared" si="475"/>
        <v>30531.600000000042</v>
      </c>
      <c r="W203" s="18">
        <f t="shared" si="476"/>
        <v>38334.120000000075</v>
      </c>
      <c r="X203" s="18">
        <f t="shared" si="477"/>
        <v>42867.899999999958</v>
      </c>
      <c r="Y203" s="18">
        <f t="shared" si="478"/>
        <v>48316.666666666737</v>
      </c>
      <c r="Z203" s="18">
        <f t="shared" si="478"/>
        <v>36890.666666666693</v>
      </c>
      <c r="AA203" s="18">
        <f t="shared" ref="AA203:AB203" si="533">AA202+(AA$234-AA$174)/60</f>
        <v>45221.333333333263</v>
      </c>
      <c r="AB203" s="18">
        <f t="shared" si="533"/>
        <v>57134</v>
      </c>
      <c r="AC203" s="18">
        <f t="shared" si="477"/>
        <v>12295</v>
      </c>
      <c r="AD203" s="18">
        <f t="shared" ref="AD203:AR203" si="534">AD202+(AD$234-AD$174)/60</f>
        <v>15003.333333333316</v>
      </c>
      <c r="AE203" s="18">
        <f t="shared" si="534"/>
        <v>17176.666666666672</v>
      </c>
      <c r="AF203" s="18">
        <f t="shared" si="534"/>
        <v>20900</v>
      </c>
      <c r="AG203" s="18">
        <f t="shared" si="534"/>
        <v>24988.333333333369</v>
      </c>
      <c r="AH203" s="18">
        <f t="shared" ref="AH203:AK203" si="535">AH202+(AH$234-AH$174)/60</f>
        <v>16106.666666666684</v>
      </c>
      <c r="AI203" s="18">
        <f t="shared" si="535"/>
        <v>18666.666666666653</v>
      </c>
      <c r="AJ203" s="18">
        <f t="shared" si="535"/>
        <v>22675</v>
      </c>
      <c r="AK203" s="18">
        <f t="shared" si="535"/>
        <v>25900</v>
      </c>
      <c r="AL203" s="18">
        <f t="shared" si="534"/>
        <v>22000</v>
      </c>
      <c r="AM203" s="18">
        <f t="shared" si="534"/>
        <v>25000</v>
      </c>
      <c r="AN203" s="18">
        <f t="shared" si="534"/>
        <v>28600</v>
      </c>
      <c r="AO203" s="18">
        <f t="shared" si="534"/>
        <v>45000</v>
      </c>
      <c r="AP203" s="18">
        <f t="shared" si="534"/>
        <v>48000</v>
      </c>
      <c r="AQ203" s="18">
        <f t="shared" si="534"/>
        <v>54000</v>
      </c>
      <c r="AR203" s="18">
        <f t="shared" si="534"/>
        <v>147200</v>
      </c>
      <c r="AS203" s="18">
        <f t="shared" si="412"/>
        <v>18586.956521739132</v>
      </c>
      <c r="AT203" s="184" t="str">
        <f t="shared" si="414"/>
        <v/>
      </c>
      <c r="AU203" s="184" t="str">
        <f t="shared" si="415"/>
        <v/>
      </c>
      <c r="AV203" s="184" t="str">
        <f t="shared" si="416"/>
        <v/>
      </c>
      <c r="AW203" s="184" t="str">
        <f t="shared" si="417"/>
        <v/>
      </c>
      <c r="AX203" s="184" t="str">
        <f t="shared" si="418"/>
        <v/>
      </c>
      <c r="AY203" s="184" t="str">
        <f t="shared" si="419"/>
        <v/>
      </c>
      <c r="AZ203" s="184" t="str">
        <f t="shared" si="420"/>
        <v/>
      </c>
      <c r="BA203" s="184" t="str">
        <f t="shared" si="421"/>
        <v/>
      </c>
      <c r="BB203" s="184" t="str">
        <f t="shared" si="422"/>
        <v/>
      </c>
      <c r="BC203" s="184" t="str">
        <f t="shared" si="423"/>
        <v/>
      </c>
      <c r="BD203" s="184" t="str">
        <f t="shared" si="424"/>
        <v/>
      </c>
      <c r="BE203" s="184" t="str">
        <f t="shared" si="425"/>
        <v/>
      </c>
      <c r="BF203" s="184" t="str">
        <f t="shared" si="426"/>
        <v/>
      </c>
      <c r="BG203" s="184" t="str">
        <f t="shared" si="427"/>
        <v/>
      </c>
      <c r="BH203" s="184" t="str">
        <f t="shared" si="428"/>
        <v/>
      </c>
      <c r="BI203" s="184" t="str">
        <f t="shared" si="429"/>
        <v/>
      </c>
      <c r="BJ203" s="184" t="str">
        <f t="shared" si="430"/>
        <v/>
      </c>
      <c r="BK203" s="184">
        <f t="shared" si="431"/>
        <v>1</v>
      </c>
      <c r="BL203" s="184" t="str">
        <f t="shared" si="432"/>
        <v/>
      </c>
      <c r="BM203" s="184" t="str">
        <f t="shared" si="433"/>
        <v/>
      </c>
      <c r="BN203" s="184" t="str">
        <f t="shared" si="434"/>
        <v/>
      </c>
      <c r="BO203" s="184" t="str">
        <f t="shared" si="435"/>
        <v/>
      </c>
      <c r="BP203" s="184" t="str">
        <f t="shared" si="436"/>
        <v/>
      </c>
      <c r="BQ203" s="184" t="str">
        <f t="shared" si="437"/>
        <v/>
      </c>
      <c r="BR203" s="184" t="str">
        <f t="shared" si="520"/>
        <v/>
      </c>
      <c r="BS203" s="184" t="str">
        <f t="shared" si="520"/>
        <v/>
      </c>
      <c r="BT203" s="184" t="str">
        <f t="shared" si="520"/>
        <v/>
      </c>
      <c r="BU203" s="184" t="str">
        <f t="shared" si="439"/>
        <v/>
      </c>
      <c r="BV203" s="184" t="str">
        <f t="shared" si="440"/>
        <v/>
      </c>
      <c r="BW203" s="184" t="str">
        <f t="shared" si="441"/>
        <v/>
      </c>
      <c r="BX203" s="184" t="str">
        <f t="shared" si="442"/>
        <v/>
      </c>
      <c r="BY203" s="184" t="str">
        <f t="shared" si="443"/>
        <v/>
      </c>
      <c r="BZ203" s="184" t="str">
        <f t="shared" si="444"/>
        <v/>
      </c>
      <c r="CA203" s="184">
        <f t="shared" si="445"/>
        <v>1</v>
      </c>
      <c r="CB203" s="184" t="str">
        <f t="shared" si="446"/>
        <v/>
      </c>
      <c r="CC203" s="184" t="str">
        <f t="shared" si="447"/>
        <v/>
      </c>
      <c r="CD203" s="184" t="str">
        <f t="shared" si="448"/>
        <v/>
      </c>
      <c r="CE203" s="184" t="str">
        <f t="shared" si="449"/>
        <v/>
      </c>
      <c r="CF203" s="184" t="str">
        <f t="shared" si="450"/>
        <v/>
      </c>
      <c r="CG203" s="184" t="str">
        <f t="shared" si="451"/>
        <v/>
      </c>
      <c r="CH203" s="184" t="str">
        <f t="shared" si="452"/>
        <v/>
      </c>
      <c r="CI203" s="184" t="str">
        <f t="shared" si="453"/>
        <v/>
      </c>
      <c r="CJ203" s="184" t="str">
        <f t="shared" si="454"/>
        <v/>
      </c>
      <c r="CK203" s="184"/>
      <c r="CM203" s="184"/>
      <c r="CN203"/>
      <c r="CP203"/>
      <c r="CR203"/>
      <c r="CT203"/>
      <c r="CV203"/>
      <c r="CX203"/>
      <c r="CZ203"/>
      <c r="DB203"/>
      <c r="DD203"/>
      <c r="DF203"/>
      <c r="ED203" s="184"/>
      <c r="EF203" s="184"/>
      <c r="EH203" s="184"/>
      <c r="EJ203" s="184"/>
      <c r="EL203" s="184"/>
      <c r="EN203" s="184"/>
      <c r="EP203" s="184"/>
      <c r="ER203" s="184"/>
      <c r="ET203" s="184"/>
      <c r="EV203" s="184"/>
      <c r="EX203" s="184"/>
      <c r="EZ203" s="184"/>
      <c r="FB203" s="184"/>
    </row>
    <row r="204" spans="1:158">
      <c r="A204" s="184">
        <f t="shared" si="368"/>
        <v>32</v>
      </c>
      <c r="B204" s="18">
        <f t="shared" si="405"/>
        <v>8800</v>
      </c>
      <c r="C204" s="18">
        <f t="shared" si="482"/>
        <v>11299.999999999982</v>
      </c>
      <c r="D204" s="18">
        <f t="shared" si="483"/>
        <v>14949.999999999982</v>
      </c>
      <c r="E204" s="18">
        <f t="shared" si="458"/>
        <v>17349.999999999993</v>
      </c>
      <c r="F204" s="18">
        <f t="shared" si="459"/>
        <v>8549.9999999999945</v>
      </c>
      <c r="G204" s="18">
        <f t="shared" si="460"/>
        <v>10950.000000000018</v>
      </c>
      <c r="H204" s="18">
        <f t="shared" si="461"/>
        <v>15000</v>
      </c>
      <c r="I204" s="18">
        <f t="shared" si="462"/>
        <v>8750.0000000000018</v>
      </c>
      <c r="J204" s="18">
        <f t="shared" si="463"/>
        <v>11600.000000000018</v>
      </c>
      <c r="K204" s="18">
        <f t="shared" si="464"/>
        <v>14649.999999999982</v>
      </c>
      <c r="L204" s="18">
        <f t="shared" si="465"/>
        <v>17499.999999999996</v>
      </c>
      <c r="M204" s="18">
        <f t="shared" si="466"/>
        <v>21799.999999999967</v>
      </c>
      <c r="N204" s="18">
        <f t="shared" si="467"/>
        <v>12450</v>
      </c>
      <c r="O204" s="18">
        <f t="shared" si="468"/>
        <v>15049.999999999982</v>
      </c>
      <c r="P204" s="18">
        <f t="shared" si="469"/>
        <v>18650</v>
      </c>
      <c r="Q204" s="18">
        <f t="shared" si="470"/>
        <v>21599.999999999964</v>
      </c>
      <c r="R204" s="18">
        <f t="shared" si="471"/>
        <v>30750</v>
      </c>
      <c r="S204" s="18">
        <f t="shared" si="472"/>
        <v>18749.999999999978</v>
      </c>
      <c r="T204" s="18">
        <f t="shared" si="473"/>
        <v>21575.000000000036</v>
      </c>
      <c r="U204" s="18">
        <f t="shared" si="474"/>
        <v>24967.80000000001</v>
      </c>
      <c r="V204" s="18">
        <f t="shared" si="475"/>
        <v>30708.000000000044</v>
      </c>
      <c r="W204" s="18">
        <f t="shared" si="476"/>
        <v>38555.600000000079</v>
      </c>
      <c r="X204" s="18">
        <f t="shared" si="477"/>
        <v>43226.999999999956</v>
      </c>
      <c r="Y204" s="18">
        <f t="shared" si="478"/>
        <v>48500.000000000073</v>
      </c>
      <c r="Z204" s="18">
        <f t="shared" si="478"/>
        <v>37120.000000000029</v>
      </c>
      <c r="AA204" s="18">
        <f t="shared" ref="AA204:AB204" si="536">AA203+(AA$234-AA$174)/60</f>
        <v>45439.999999999927</v>
      </c>
      <c r="AB204" s="18">
        <f t="shared" si="536"/>
        <v>57420</v>
      </c>
      <c r="AC204" s="18">
        <f t="shared" si="477"/>
        <v>12350</v>
      </c>
      <c r="AD204" s="18">
        <f t="shared" ref="AD204:AR204" si="537">AD203+(AD$234-AD$174)/60</f>
        <v>15099.999999999982</v>
      </c>
      <c r="AE204" s="18">
        <f t="shared" si="537"/>
        <v>17300.000000000004</v>
      </c>
      <c r="AF204" s="18">
        <f t="shared" si="537"/>
        <v>21000</v>
      </c>
      <c r="AG204" s="18">
        <f t="shared" si="537"/>
        <v>25150.000000000036</v>
      </c>
      <c r="AH204" s="18">
        <f t="shared" ref="AH204:AK204" si="538">AH203+(AH$234-AH$174)/60</f>
        <v>16200.000000000018</v>
      </c>
      <c r="AI204" s="18">
        <f t="shared" si="538"/>
        <v>18799.999999999985</v>
      </c>
      <c r="AJ204" s="18">
        <f t="shared" si="538"/>
        <v>22750</v>
      </c>
      <c r="AK204" s="18">
        <f t="shared" si="538"/>
        <v>26000</v>
      </c>
      <c r="AL204" s="18">
        <f t="shared" si="537"/>
        <v>22000</v>
      </c>
      <c r="AM204" s="18">
        <f t="shared" si="537"/>
        <v>25000</v>
      </c>
      <c r="AN204" s="18">
        <f t="shared" si="537"/>
        <v>28600</v>
      </c>
      <c r="AO204" s="18">
        <f t="shared" si="537"/>
        <v>45000</v>
      </c>
      <c r="AP204" s="18">
        <f t="shared" si="537"/>
        <v>48000</v>
      </c>
      <c r="AQ204" s="18">
        <f t="shared" si="537"/>
        <v>54000</v>
      </c>
      <c r="AR204" s="18">
        <f t="shared" si="537"/>
        <v>147200</v>
      </c>
      <c r="AS204" s="18">
        <f t="shared" si="412"/>
        <v>18260.869565217392</v>
      </c>
      <c r="AT204" s="184" t="str">
        <f t="shared" si="414"/>
        <v/>
      </c>
      <c r="AU204" s="184" t="str">
        <f t="shared" si="415"/>
        <v/>
      </c>
      <c r="AV204" s="184" t="str">
        <f t="shared" si="416"/>
        <v/>
      </c>
      <c r="AW204" s="184" t="str">
        <f t="shared" si="417"/>
        <v/>
      </c>
      <c r="AX204" s="184" t="str">
        <f t="shared" si="418"/>
        <v/>
      </c>
      <c r="AY204" s="184" t="str">
        <f t="shared" si="419"/>
        <v/>
      </c>
      <c r="AZ204" s="184" t="str">
        <f t="shared" si="420"/>
        <v/>
      </c>
      <c r="BA204" s="184" t="str">
        <f t="shared" si="421"/>
        <v/>
      </c>
      <c r="BB204" s="184" t="str">
        <f t="shared" si="422"/>
        <v/>
      </c>
      <c r="BC204" s="184" t="str">
        <f t="shared" si="423"/>
        <v/>
      </c>
      <c r="BD204" s="184" t="str">
        <f t="shared" si="424"/>
        <v/>
      </c>
      <c r="BE204" s="184" t="str">
        <f t="shared" si="425"/>
        <v/>
      </c>
      <c r="BF204" s="184" t="str">
        <f t="shared" si="426"/>
        <v/>
      </c>
      <c r="BG204" s="184" t="str">
        <f t="shared" si="427"/>
        <v/>
      </c>
      <c r="BH204" s="184">
        <f t="shared" si="428"/>
        <v>1</v>
      </c>
      <c r="BI204" s="184" t="str">
        <f t="shared" si="429"/>
        <v/>
      </c>
      <c r="BJ204" s="184" t="str">
        <f t="shared" si="430"/>
        <v/>
      </c>
      <c r="BK204" s="184" t="str">
        <f t="shared" si="431"/>
        <v/>
      </c>
      <c r="BL204" s="184" t="str">
        <f t="shared" si="432"/>
        <v/>
      </c>
      <c r="BM204" s="184" t="str">
        <f t="shared" si="433"/>
        <v/>
      </c>
      <c r="BN204" s="184" t="str">
        <f t="shared" si="434"/>
        <v/>
      </c>
      <c r="BO204" s="184" t="str">
        <f t="shared" si="435"/>
        <v/>
      </c>
      <c r="BP204" s="184" t="str">
        <f t="shared" si="436"/>
        <v/>
      </c>
      <c r="BQ204" s="184" t="str">
        <f t="shared" si="437"/>
        <v/>
      </c>
      <c r="BR204" s="184" t="str">
        <f t="shared" si="520"/>
        <v/>
      </c>
      <c r="BS204" s="184" t="str">
        <f t="shared" si="520"/>
        <v/>
      </c>
      <c r="BT204" s="184" t="str">
        <f t="shared" si="520"/>
        <v/>
      </c>
      <c r="BU204" s="184" t="str">
        <f t="shared" si="439"/>
        <v/>
      </c>
      <c r="BV204" s="184" t="str">
        <f t="shared" si="440"/>
        <v/>
      </c>
      <c r="BW204" s="184" t="str">
        <f t="shared" si="441"/>
        <v/>
      </c>
      <c r="BX204" s="184" t="str">
        <f t="shared" si="442"/>
        <v/>
      </c>
      <c r="BY204" s="184" t="str">
        <f t="shared" si="443"/>
        <v/>
      </c>
      <c r="BZ204" s="184" t="str">
        <f t="shared" si="444"/>
        <v/>
      </c>
      <c r="CA204" s="184" t="str">
        <f t="shared" si="445"/>
        <v/>
      </c>
      <c r="CB204" s="184" t="str">
        <f t="shared" si="446"/>
        <v/>
      </c>
      <c r="CC204" s="184" t="str">
        <f t="shared" si="447"/>
        <v/>
      </c>
      <c r="CD204" s="184" t="str">
        <f t="shared" si="448"/>
        <v/>
      </c>
      <c r="CE204" s="184" t="str">
        <f t="shared" si="449"/>
        <v/>
      </c>
      <c r="CF204" s="184" t="str">
        <f t="shared" si="450"/>
        <v/>
      </c>
      <c r="CG204" s="184" t="str">
        <f t="shared" si="451"/>
        <v/>
      </c>
      <c r="CH204" s="184" t="str">
        <f t="shared" si="452"/>
        <v/>
      </c>
      <c r="CI204" s="184" t="str">
        <f t="shared" si="453"/>
        <v/>
      </c>
      <c r="CJ204" s="184" t="str">
        <f t="shared" si="454"/>
        <v/>
      </c>
      <c r="CK204" s="184"/>
      <c r="CM204" s="184"/>
      <c r="CN204"/>
      <c r="CP204"/>
      <c r="CR204"/>
      <c r="CT204"/>
      <c r="CV204"/>
      <c r="CX204"/>
      <c r="CZ204"/>
      <c r="DB204"/>
      <c r="DD204"/>
      <c r="DF204"/>
      <c r="ED204" s="184"/>
      <c r="EF204" s="184"/>
      <c r="EH204" s="184"/>
      <c r="EJ204" s="184"/>
      <c r="EL204" s="184"/>
      <c r="EN204" s="184"/>
      <c r="EP204" s="184"/>
      <c r="ER204" s="184"/>
      <c r="ET204" s="184"/>
      <c r="EV204" s="184"/>
      <c r="EX204" s="184"/>
      <c r="EZ204" s="184"/>
      <c r="FB204" s="184"/>
    </row>
    <row r="205" spans="1:158">
      <c r="A205" s="184">
        <f t="shared" si="368"/>
        <v>32.5</v>
      </c>
      <c r="B205" s="18">
        <f t="shared" si="405"/>
        <v>8870</v>
      </c>
      <c r="C205" s="18">
        <f t="shared" si="482"/>
        <v>11376.666666666648</v>
      </c>
      <c r="D205" s="18">
        <f t="shared" si="483"/>
        <v>15051.666666666648</v>
      </c>
      <c r="E205" s="18">
        <f t="shared" si="458"/>
        <v>17491.666666666661</v>
      </c>
      <c r="F205" s="18">
        <f t="shared" si="459"/>
        <v>8628.3333333333285</v>
      </c>
      <c r="G205" s="18">
        <f t="shared" si="460"/>
        <v>11038.333333333352</v>
      </c>
      <c r="H205" s="18">
        <f t="shared" si="461"/>
        <v>15100</v>
      </c>
      <c r="I205" s="18">
        <f t="shared" si="462"/>
        <v>8821.6666666666679</v>
      </c>
      <c r="J205" s="18">
        <f t="shared" si="463"/>
        <v>11693.333333333352</v>
      </c>
      <c r="K205" s="18">
        <f t="shared" si="464"/>
        <v>14761.666666666648</v>
      </c>
      <c r="L205" s="18">
        <f t="shared" si="465"/>
        <v>17636.666666666664</v>
      </c>
      <c r="M205" s="18">
        <f t="shared" si="466"/>
        <v>21993.333333333299</v>
      </c>
      <c r="N205" s="18">
        <f t="shared" si="467"/>
        <v>12505</v>
      </c>
      <c r="O205" s="18">
        <f t="shared" si="468"/>
        <v>15151.666666666648</v>
      </c>
      <c r="P205" s="18">
        <f t="shared" si="469"/>
        <v>18725</v>
      </c>
      <c r="Q205" s="18">
        <f t="shared" si="470"/>
        <v>21713.333333333296</v>
      </c>
      <c r="R205" s="18">
        <f t="shared" si="471"/>
        <v>30955</v>
      </c>
      <c r="S205" s="18">
        <f t="shared" si="472"/>
        <v>18858.33333333331</v>
      </c>
      <c r="T205" s="18">
        <f t="shared" si="473"/>
        <v>21689.166666666704</v>
      </c>
      <c r="U205" s="18">
        <f t="shared" si="474"/>
        <v>25088.873333333344</v>
      </c>
      <c r="V205" s="18">
        <f t="shared" si="475"/>
        <v>30884.400000000045</v>
      </c>
      <c r="W205" s="18">
        <f t="shared" si="476"/>
        <v>38777.080000000082</v>
      </c>
      <c r="X205" s="18">
        <f t="shared" si="477"/>
        <v>43586.099999999955</v>
      </c>
      <c r="Y205" s="18">
        <f t="shared" si="478"/>
        <v>48683.333333333409</v>
      </c>
      <c r="Z205" s="18">
        <f t="shared" si="478"/>
        <v>37349.333333333365</v>
      </c>
      <c r="AA205" s="18">
        <f t="shared" ref="AA205:AB205" si="539">AA204+(AA$234-AA$174)/60</f>
        <v>45658.666666666591</v>
      </c>
      <c r="AB205" s="18">
        <f t="shared" si="539"/>
        <v>57706</v>
      </c>
      <c r="AC205" s="18">
        <f t="shared" si="477"/>
        <v>12405</v>
      </c>
      <c r="AD205" s="18">
        <f t="shared" ref="AD205:AR205" si="540">AD204+(AD$234-AD$174)/60</f>
        <v>15196.666666666648</v>
      </c>
      <c r="AE205" s="18">
        <f t="shared" si="540"/>
        <v>17423.333333333336</v>
      </c>
      <c r="AF205" s="18">
        <f t="shared" si="540"/>
        <v>21100</v>
      </c>
      <c r="AG205" s="18">
        <f t="shared" si="540"/>
        <v>25311.666666666704</v>
      </c>
      <c r="AH205" s="18">
        <f t="shared" ref="AH205:AK205" si="541">AH204+(AH$234-AH$174)/60</f>
        <v>16293.333333333352</v>
      </c>
      <c r="AI205" s="18">
        <f t="shared" si="541"/>
        <v>18933.333333333318</v>
      </c>
      <c r="AJ205" s="18">
        <f t="shared" si="541"/>
        <v>22825</v>
      </c>
      <c r="AK205" s="18">
        <f t="shared" si="541"/>
        <v>26100</v>
      </c>
      <c r="AL205" s="18">
        <f t="shared" si="540"/>
        <v>22000</v>
      </c>
      <c r="AM205" s="18">
        <f t="shared" si="540"/>
        <v>25000</v>
      </c>
      <c r="AN205" s="18">
        <f t="shared" si="540"/>
        <v>28600</v>
      </c>
      <c r="AO205" s="18">
        <f t="shared" si="540"/>
        <v>45000</v>
      </c>
      <c r="AP205" s="18">
        <f t="shared" si="540"/>
        <v>48000</v>
      </c>
      <c r="AQ205" s="18">
        <f t="shared" si="540"/>
        <v>54000</v>
      </c>
      <c r="AR205" s="18">
        <f t="shared" si="540"/>
        <v>147200</v>
      </c>
      <c r="AS205" s="18">
        <f t="shared" si="412"/>
        <v>17934.782608695652</v>
      </c>
      <c r="AT205" s="184" t="str">
        <f t="shared" si="414"/>
        <v/>
      </c>
      <c r="AU205" s="184" t="str">
        <f t="shared" si="415"/>
        <v/>
      </c>
      <c r="AV205" s="184" t="str">
        <f t="shared" si="416"/>
        <v/>
      </c>
      <c r="AW205" s="184" t="str">
        <f t="shared" si="417"/>
        <v/>
      </c>
      <c r="AX205" s="184" t="str">
        <f t="shared" si="418"/>
        <v/>
      </c>
      <c r="AY205" s="184" t="str">
        <f t="shared" si="419"/>
        <v/>
      </c>
      <c r="AZ205" s="184" t="str">
        <f t="shared" si="420"/>
        <v/>
      </c>
      <c r="BA205" s="184" t="str">
        <f t="shared" si="421"/>
        <v/>
      </c>
      <c r="BB205" s="184" t="str">
        <f t="shared" si="422"/>
        <v/>
      </c>
      <c r="BC205" s="184" t="str">
        <f t="shared" si="423"/>
        <v/>
      </c>
      <c r="BD205" s="184" t="str">
        <f t="shared" si="424"/>
        <v/>
      </c>
      <c r="BE205" s="184" t="str">
        <f t="shared" si="425"/>
        <v/>
      </c>
      <c r="BF205" s="184" t="str">
        <f t="shared" si="426"/>
        <v/>
      </c>
      <c r="BG205" s="184" t="str">
        <f t="shared" si="427"/>
        <v/>
      </c>
      <c r="BH205" s="184" t="str">
        <f t="shared" si="428"/>
        <v/>
      </c>
      <c r="BI205" s="184" t="str">
        <f t="shared" si="429"/>
        <v/>
      </c>
      <c r="BJ205" s="184" t="str">
        <f t="shared" si="430"/>
        <v/>
      </c>
      <c r="BK205" s="184" t="str">
        <f t="shared" si="431"/>
        <v/>
      </c>
      <c r="BL205" s="184" t="str">
        <f t="shared" si="432"/>
        <v/>
      </c>
      <c r="BM205" s="184" t="str">
        <f t="shared" si="433"/>
        <v/>
      </c>
      <c r="BN205" s="184" t="str">
        <f t="shared" si="434"/>
        <v/>
      </c>
      <c r="BO205" s="184" t="str">
        <f t="shared" si="435"/>
        <v/>
      </c>
      <c r="BP205" s="184" t="str">
        <f t="shared" si="436"/>
        <v/>
      </c>
      <c r="BQ205" s="184" t="str">
        <f t="shared" si="437"/>
        <v/>
      </c>
      <c r="BR205" s="184" t="str">
        <f t="shared" si="520"/>
        <v/>
      </c>
      <c r="BS205" s="184" t="str">
        <f t="shared" si="520"/>
        <v/>
      </c>
      <c r="BT205" s="184" t="str">
        <f t="shared" si="520"/>
        <v/>
      </c>
      <c r="BU205" s="184" t="str">
        <f t="shared" si="439"/>
        <v/>
      </c>
      <c r="BV205" s="184" t="str">
        <f t="shared" si="440"/>
        <v/>
      </c>
      <c r="BW205" s="184" t="str">
        <f t="shared" si="441"/>
        <v/>
      </c>
      <c r="BX205" s="184" t="str">
        <f t="shared" si="442"/>
        <v/>
      </c>
      <c r="BY205" s="184" t="str">
        <f t="shared" si="443"/>
        <v/>
      </c>
      <c r="BZ205" s="184" t="str">
        <f t="shared" si="444"/>
        <v/>
      </c>
      <c r="CA205" s="184" t="str">
        <f t="shared" si="445"/>
        <v/>
      </c>
      <c r="CB205" s="184" t="str">
        <f t="shared" si="446"/>
        <v/>
      </c>
      <c r="CC205" s="184" t="str">
        <f t="shared" si="447"/>
        <v/>
      </c>
      <c r="CD205" s="184" t="str">
        <f t="shared" si="448"/>
        <v/>
      </c>
      <c r="CE205" s="184" t="str">
        <f t="shared" si="449"/>
        <v/>
      </c>
      <c r="CF205" s="184" t="str">
        <f t="shared" si="450"/>
        <v/>
      </c>
      <c r="CG205" s="184" t="str">
        <f t="shared" si="451"/>
        <v/>
      </c>
      <c r="CH205" s="184" t="str">
        <f t="shared" si="452"/>
        <v/>
      </c>
      <c r="CI205" s="184" t="str">
        <f t="shared" si="453"/>
        <v/>
      </c>
      <c r="CJ205" s="184" t="str">
        <f t="shared" si="454"/>
        <v/>
      </c>
      <c r="CK205" s="184"/>
      <c r="CM205" s="184"/>
      <c r="CN205"/>
      <c r="CP205"/>
      <c r="CR205"/>
      <c r="CT205"/>
      <c r="CV205"/>
      <c r="CX205"/>
      <c r="CZ205"/>
      <c r="DB205"/>
      <c r="DD205"/>
      <c r="DF205"/>
      <c r="ED205" s="184"/>
      <c r="EF205" s="184"/>
      <c r="EH205" s="184"/>
      <c r="EJ205" s="184"/>
      <c r="EL205" s="184"/>
      <c r="EN205" s="184"/>
      <c r="EP205" s="184"/>
      <c r="ER205" s="184"/>
      <c r="ET205" s="184"/>
      <c r="EV205" s="184"/>
      <c r="EX205" s="184"/>
      <c r="EZ205" s="184"/>
      <c r="FB205" s="184"/>
    </row>
    <row r="206" spans="1:158">
      <c r="A206" s="184">
        <f t="shared" si="368"/>
        <v>33</v>
      </c>
      <c r="B206" s="18">
        <f t="shared" si="405"/>
        <v>8940</v>
      </c>
      <c r="C206" s="18">
        <f t="shared" si="482"/>
        <v>11453.333333333314</v>
      </c>
      <c r="D206" s="18">
        <f t="shared" si="483"/>
        <v>15153.333333333314</v>
      </c>
      <c r="E206" s="18">
        <f t="shared" si="458"/>
        <v>17633.333333333328</v>
      </c>
      <c r="F206" s="18">
        <f t="shared" si="459"/>
        <v>8706.6666666666624</v>
      </c>
      <c r="G206" s="18">
        <f t="shared" si="460"/>
        <v>11126.666666666686</v>
      </c>
      <c r="H206" s="18">
        <f t="shared" si="461"/>
        <v>15200</v>
      </c>
      <c r="I206" s="18">
        <f t="shared" si="462"/>
        <v>8893.3333333333339</v>
      </c>
      <c r="J206" s="18">
        <f t="shared" si="463"/>
        <v>11786.666666666686</v>
      </c>
      <c r="K206" s="18">
        <f t="shared" si="464"/>
        <v>14873.333333333314</v>
      </c>
      <c r="L206" s="18">
        <f t="shared" si="465"/>
        <v>17773.333333333332</v>
      </c>
      <c r="M206" s="18">
        <f t="shared" si="466"/>
        <v>22186.666666666631</v>
      </c>
      <c r="N206" s="18">
        <f t="shared" si="467"/>
        <v>12560</v>
      </c>
      <c r="O206" s="18">
        <f t="shared" si="468"/>
        <v>15253.333333333314</v>
      </c>
      <c r="P206" s="18">
        <f t="shared" si="469"/>
        <v>18800</v>
      </c>
      <c r="Q206" s="18">
        <f t="shared" si="470"/>
        <v>21826.666666666628</v>
      </c>
      <c r="R206" s="18">
        <f t="shared" si="471"/>
        <v>31160</v>
      </c>
      <c r="S206" s="18">
        <f t="shared" si="472"/>
        <v>18966.666666666642</v>
      </c>
      <c r="T206" s="18">
        <f t="shared" si="473"/>
        <v>21803.333333333372</v>
      </c>
      <c r="U206" s="18">
        <f t="shared" si="474"/>
        <v>25209.946666666678</v>
      </c>
      <c r="V206" s="18">
        <f t="shared" si="475"/>
        <v>31060.800000000047</v>
      </c>
      <c r="W206" s="18">
        <f t="shared" si="476"/>
        <v>38998.560000000085</v>
      </c>
      <c r="X206" s="18">
        <f t="shared" si="477"/>
        <v>43945.199999999953</v>
      </c>
      <c r="Y206" s="18">
        <f t="shared" si="478"/>
        <v>48866.666666666744</v>
      </c>
      <c r="Z206" s="18">
        <f t="shared" si="478"/>
        <v>37578.666666666701</v>
      </c>
      <c r="AA206" s="18">
        <f t="shared" ref="AA206:AB206" si="542">AA205+(AA$234-AA$174)/60</f>
        <v>45877.333333333256</v>
      </c>
      <c r="AB206" s="18">
        <f t="shared" si="542"/>
        <v>57992</v>
      </c>
      <c r="AC206" s="18">
        <f t="shared" si="477"/>
        <v>12460</v>
      </c>
      <c r="AD206" s="18">
        <f t="shared" ref="AD206:AR206" si="543">AD205+(AD$234-AD$174)/60</f>
        <v>15293.333333333314</v>
      </c>
      <c r="AE206" s="18">
        <f t="shared" si="543"/>
        <v>17546.666666666668</v>
      </c>
      <c r="AF206" s="18">
        <f t="shared" si="543"/>
        <v>21200</v>
      </c>
      <c r="AG206" s="18">
        <f t="shared" si="543"/>
        <v>25473.333333333372</v>
      </c>
      <c r="AH206" s="18">
        <f t="shared" ref="AH206:AK206" si="544">AH205+(AH$234-AH$174)/60</f>
        <v>16386.666666666686</v>
      </c>
      <c r="AI206" s="18">
        <f t="shared" si="544"/>
        <v>19066.66666666665</v>
      </c>
      <c r="AJ206" s="18">
        <f t="shared" si="544"/>
        <v>22900</v>
      </c>
      <c r="AK206" s="18">
        <f t="shared" si="544"/>
        <v>26200</v>
      </c>
      <c r="AL206" s="18">
        <f t="shared" si="543"/>
        <v>22000</v>
      </c>
      <c r="AM206" s="18">
        <f t="shared" si="543"/>
        <v>25000</v>
      </c>
      <c r="AN206" s="18">
        <f t="shared" si="543"/>
        <v>28600</v>
      </c>
      <c r="AO206" s="18">
        <f t="shared" si="543"/>
        <v>45000</v>
      </c>
      <c r="AP206" s="18">
        <f t="shared" si="543"/>
        <v>48000</v>
      </c>
      <c r="AQ206" s="18">
        <f t="shared" si="543"/>
        <v>54000</v>
      </c>
      <c r="AR206" s="18">
        <f t="shared" si="543"/>
        <v>147200</v>
      </c>
      <c r="AS206" s="18">
        <f t="shared" si="412"/>
        <v>17608.695652173912</v>
      </c>
      <c r="AT206" s="184" t="str">
        <f t="shared" si="414"/>
        <v/>
      </c>
      <c r="AU206" s="184" t="str">
        <f t="shared" si="415"/>
        <v/>
      </c>
      <c r="AV206" s="184" t="str">
        <f t="shared" si="416"/>
        <v/>
      </c>
      <c r="AW206" s="184">
        <f t="shared" si="417"/>
        <v>1</v>
      </c>
      <c r="AX206" s="184" t="str">
        <f t="shared" si="418"/>
        <v/>
      </c>
      <c r="AY206" s="184" t="str">
        <f t="shared" si="419"/>
        <v/>
      </c>
      <c r="AZ206" s="184" t="str">
        <f t="shared" si="420"/>
        <v/>
      </c>
      <c r="BA206" s="184" t="str">
        <f t="shared" si="421"/>
        <v/>
      </c>
      <c r="BB206" s="184" t="str">
        <f t="shared" si="422"/>
        <v/>
      </c>
      <c r="BC206" s="184" t="str">
        <f t="shared" si="423"/>
        <v/>
      </c>
      <c r="BD206" s="184">
        <f t="shared" si="424"/>
        <v>1</v>
      </c>
      <c r="BE206" s="184" t="str">
        <f t="shared" si="425"/>
        <v/>
      </c>
      <c r="BF206" s="184" t="str">
        <f t="shared" si="426"/>
        <v/>
      </c>
      <c r="BG206" s="184" t="str">
        <f t="shared" si="427"/>
        <v/>
      </c>
      <c r="BH206" s="184" t="str">
        <f t="shared" si="428"/>
        <v/>
      </c>
      <c r="BI206" s="184" t="str">
        <f t="shared" si="429"/>
        <v/>
      </c>
      <c r="BJ206" s="184" t="str">
        <f t="shared" si="430"/>
        <v/>
      </c>
      <c r="BK206" s="184" t="str">
        <f t="shared" si="431"/>
        <v/>
      </c>
      <c r="BL206" s="184" t="str">
        <f t="shared" si="432"/>
        <v/>
      </c>
      <c r="BM206" s="184" t="str">
        <f t="shared" si="433"/>
        <v/>
      </c>
      <c r="BN206" s="184" t="str">
        <f t="shared" si="434"/>
        <v/>
      </c>
      <c r="BO206" s="184" t="str">
        <f t="shared" si="435"/>
        <v/>
      </c>
      <c r="BP206" s="184" t="str">
        <f t="shared" si="436"/>
        <v/>
      </c>
      <c r="BQ206" s="184" t="str">
        <f t="shared" si="437"/>
        <v/>
      </c>
      <c r="BR206" s="184" t="str">
        <f t="shared" si="520"/>
        <v/>
      </c>
      <c r="BS206" s="184" t="str">
        <f t="shared" si="520"/>
        <v/>
      </c>
      <c r="BT206" s="184" t="str">
        <f t="shared" si="520"/>
        <v/>
      </c>
      <c r="BU206" s="184" t="str">
        <f t="shared" si="439"/>
        <v/>
      </c>
      <c r="BV206" s="184" t="str">
        <f t="shared" si="440"/>
        <v/>
      </c>
      <c r="BW206" s="184" t="str">
        <f t="shared" si="441"/>
        <v/>
      </c>
      <c r="BX206" s="184" t="str">
        <f t="shared" si="442"/>
        <v/>
      </c>
      <c r="BY206" s="184" t="str">
        <f t="shared" si="443"/>
        <v/>
      </c>
      <c r="BZ206" s="184" t="str">
        <f t="shared" si="444"/>
        <v/>
      </c>
      <c r="CA206" s="184" t="str">
        <f t="shared" si="445"/>
        <v/>
      </c>
      <c r="CB206" s="184" t="str">
        <f t="shared" si="446"/>
        <v/>
      </c>
      <c r="CC206" s="184" t="str">
        <f t="shared" si="447"/>
        <v/>
      </c>
      <c r="CD206" s="184" t="str">
        <f t="shared" si="448"/>
        <v/>
      </c>
      <c r="CE206" s="184" t="str">
        <f t="shared" si="449"/>
        <v/>
      </c>
      <c r="CF206" s="184" t="str">
        <f t="shared" si="450"/>
        <v/>
      </c>
      <c r="CG206" s="184" t="str">
        <f t="shared" si="451"/>
        <v/>
      </c>
      <c r="CH206" s="184" t="str">
        <f t="shared" si="452"/>
        <v/>
      </c>
      <c r="CI206" s="184" t="str">
        <f t="shared" si="453"/>
        <v/>
      </c>
      <c r="CJ206" s="184" t="str">
        <f t="shared" si="454"/>
        <v/>
      </c>
      <c r="CK206" s="184"/>
      <c r="CM206" s="184"/>
      <c r="CN206"/>
      <c r="CP206"/>
      <c r="CR206"/>
      <c r="CT206"/>
      <c r="CV206"/>
      <c r="CX206"/>
      <c r="CZ206"/>
      <c r="DB206"/>
      <c r="DD206"/>
      <c r="DF206"/>
      <c r="ED206" s="184"/>
      <c r="EF206" s="184"/>
      <c r="EH206" s="184"/>
      <c r="EJ206" s="184"/>
      <c r="EL206" s="184"/>
      <c r="EN206" s="184"/>
      <c r="EP206" s="184"/>
      <c r="ER206" s="184"/>
      <c r="ET206" s="184"/>
      <c r="EV206" s="184"/>
      <c r="EX206" s="184"/>
      <c r="EZ206" s="184"/>
      <c r="FB206" s="184"/>
    </row>
    <row r="207" spans="1:158">
      <c r="A207" s="184">
        <f t="shared" si="368"/>
        <v>33.5</v>
      </c>
      <c r="B207" s="18">
        <f t="shared" si="405"/>
        <v>9010</v>
      </c>
      <c r="C207" s="18">
        <f t="shared" si="482"/>
        <v>11529.99999999998</v>
      </c>
      <c r="D207" s="18">
        <f t="shared" si="483"/>
        <v>15254.99999999998</v>
      </c>
      <c r="E207" s="18">
        <f t="shared" si="458"/>
        <v>17774.999999999996</v>
      </c>
      <c r="F207" s="18">
        <f t="shared" si="459"/>
        <v>8784.9999999999964</v>
      </c>
      <c r="G207" s="18">
        <f t="shared" si="460"/>
        <v>11215.00000000002</v>
      </c>
      <c r="H207" s="18">
        <f t="shared" si="461"/>
        <v>15300</v>
      </c>
      <c r="I207" s="18">
        <f t="shared" si="462"/>
        <v>8965</v>
      </c>
      <c r="J207" s="18">
        <f t="shared" si="463"/>
        <v>11880.00000000002</v>
      </c>
      <c r="K207" s="18">
        <f t="shared" si="464"/>
        <v>14984.99999999998</v>
      </c>
      <c r="L207" s="18">
        <f t="shared" si="465"/>
        <v>17910</v>
      </c>
      <c r="M207" s="18">
        <f t="shared" si="466"/>
        <v>22379.999999999964</v>
      </c>
      <c r="N207" s="18">
        <f t="shared" si="467"/>
        <v>12615</v>
      </c>
      <c r="O207" s="18">
        <f t="shared" si="468"/>
        <v>15354.99999999998</v>
      </c>
      <c r="P207" s="18">
        <f t="shared" si="469"/>
        <v>18875</v>
      </c>
      <c r="Q207" s="18">
        <f t="shared" si="470"/>
        <v>21939.99999999996</v>
      </c>
      <c r="R207" s="18">
        <f t="shared" si="471"/>
        <v>31365</v>
      </c>
      <c r="S207" s="18">
        <f t="shared" si="472"/>
        <v>19074.999999999975</v>
      </c>
      <c r="T207" s="18">
        <f t="shared" si="473"/>
        <v>21917.50000000004</v>
      </c>
      <c r="U207" s="18">
        <f t="shared" si="474"/>
        <v>25331.020000000011</v>
      </c>
      <c r="V207" s="18">
        <f t="shared" si="475"/>
        <v>31237.200000000048</v>
      </c>
      <c r="W207" s="18">
        <f t="shared" si="476"/>
        <v>39220.040000000088</v>
      </c>
      <c r="X207" s="18">
        <f t="shared" si="477"/>
        <v>44304.299999999952</v>
      </c>
      <c r="Y207" s="18">
        <f t="shared" si="478"/>
        <v>49050.00000000008</v>
      </c>
      <c r="Z207" s="18">
        <f t="shared" si="478"/>
        <v>37808.000000000036</v>
      </c>
      <c r="AA207" s="18">
        <f t="shared" ref="AA207:AB207" si="545">AA206+(AA$234-AA$174)/60</f>
        <v>46095.99999999992</v>
      </c>
      <c r="AB207" s="18">
        <f t="shared" si="545"/>
        <v>58278</v>
      </c>
      <c r="AC207" s="18">
        <f t="shared" si="477"/>
        <v>12515</v>
      </c>
      <c r="AD207" s="18">
        <f t="shared" ref="AD207:AR207" si="546">AD206+(AD$234-AD$174)/60</f>
        <v>15389.99999999998</v>
      </c>
      <c r="AE207" s="18">
        <f t="shared" si="546"/>
        <v>17670</v>
      </c>
      <c r="AF207" s="18">
        <f t="shared" si="546"/>
        <v>21300</v>
      </c>
      <c r="AG207" s="18">
        <f t="shared" si="546"/>
        <v>25635.00000000004</v>
      </c>
      <c r="AH207" s="18">
        <f t="shared" ref="AH207:AK207" si="547">AH206+(AH$234-AH$174)/60</f>
        <v>16480.000000000018</v>
      </c>
      <c r="AI207" s="18">
        <f t="shared" si="547"/>
        <v>19199.999999999982</v>
      </c>
      <c r="AJ207" s="18">
        <f t="shared" si="547"/>
        <v>22975</v>
      </c>
      <c r="AK207" s="18">
        <f t="shared" si="547"/>
        <v>26300</v>
      </c>
      <c r="AL207" s="18">
        <f t="shared" si="546"/>
        <v>22000</v>
      </c>
      <c r="AM207" s="18">
        <f t="shared" si="546"/>
        <v>25000</v>
      </c>
      <c r="AN207" s="18">
        <f t="shared" si="546"/>
        <v>28600</v>
      </c>
      <c r="AO207" s="18">
        <f t="shared" si="546"/>
        <v>45000</v>
      </c>
      <c r="AP207" s="18">
        <f t="shared" si="546"/>
        <v>48000</v>
      </c>
      <c r="AQ207" s="18">
        <f t="shared" si="546"/>
        <v>54000</v>
      </c>
      <c r="AR207" s="18">
        <f t="shared" si="546"/>
        <v>147200</v>
      </c>
      <c r="AS207" s="18">
        <f t="shared" si="412"/>
        <v>17282.608695652172</v>
      </c>
      <c r="AT207" s="184" t="str">
        <f t="shared" si="414"/>
        <v/>
      </c>
      <c r="AU207" s="184" t="str">
        <f t="shared" si="415"/>
        <v/>
      </c>
      <c r="AV207" s="184" t="str">
        <f t="shared" si="416"/>
        <v/>
      </c>
      <c r="AW207" s="184" t="str">
        <f t="shared" si="417"/>
        <v/>
      </c>
      <c r="AX207" s="184" t="str">
        <f t="shared" si="418"/>
        <v/>
      </c>
      <c r="AY207" s="184" t="str">
        <f t="shared" si="419"/>
        <v/>
      </c>
      <c r="AZ207" s="184" t="str">
        <f t="shared" si="420"/>
        <v/>
      </c>
      <c r="BA207" s="184" t="str">
        <f t="shared" si="421"/>
        <v/>
      </c>
      <c r="BB207" s="184" t="str">
        <f t="shared" si="422"/>
        <v/>
      </c>
      <c r="BC207" s="184" t="str">
        <f t="shared" si="423"/>
        <v/>
      </c>
      <c r="BD207" s="184" t="str">
        <f t="shared" si="424"/>
        <v/>
      </c>
      <c r="BE207" s="184" t="str">
        <f t="shared" si="425"/>
        <v/>
      </c>
      <c r="BF207" s="184" t="str">
        <f t="shared" si="426"/>
        <v/>
      </c>
      <c r="BG207" s="184" t="str">
        <f t="shared" si="427"/>
        <v/>
      </c>
      <c r="BH207" s="184" t="str">
        <f t="shared" si="428"/>
        <v/>
      </c>
      <c r="BI207" s="184" t="str">
        <f t="shared" si="429"/>
        <v/>
      </c>
      <c r="BJ207" s="184" t="str">
        <f t="shared" si="430"/>
        <v/>
      </c>
      <c r="BK207" s="184" t="str">
        <f t="shared" si="431"/>
        <v/>
      </c>
      <c r="BL207" s="184" t="str">
        <f t="shared" si="432"/>
        <v/>
      </c>
      <c r="BM207" s="184" t="str">
        <f t="shared" si="433"/>
        <v/>
      </c>
      <c r="BN207" s="184" t="str">
        <f t="shared" si="434"/>
        <v/>
      </c>
      <c r="BO207" s="184" t="str">
        <f t="shared" si="435"/>
        <v/>
      </c>
      <c r="BP207" s="184" t="str">
        <f t="shared" si="436"/>
        <v/>
      </c>
      <c r="BQ207" s="184" t="str">
        <f t="shared" si="437"/>
        <v/>
      </c>
      <c r="BR207" s="184" t="str">
        <f t="shared" si="520"/>
        <v/>
      </c>
      <c r="BS207" s="184" t="str">
        <f t="shared" si="520"/>
        <v/>
      </c>
      <c r="BT207" s="184" t="str">
        <f t="shared" si="520"/>
        <v/>
      </c>
      <c r="BU207" s="184" t="str">
        <f t="shared" si="439"/>
        <v/>
      </c>
      <c r="BV207" s="184" t="str">
        <f t="shared" si="440"/>
        <v/>
      </c>
      <c r="BW207" s="184">
        <f t="shared" si="441"/>
        <v>1</v>
      </c>
      <c r="BX207" s="184" t="str">
        <f t="shared" si="442"/>
        <v/>
      </c>
      <c r="BY207" s="184" t="str">
        <f t="shared" si="443"/>
        <v/>
      </c>
      <c r="BZ207" s="184" t="str">
        <f t="shared" si="444"/>
        <v/>
      </c>
      <c r="CA207" s="184" t="str">
        <f t="shared" si="445"/>
        <v/>
      </c>
      <c r="CB207" s="184" t="str">
        <f t="shared" si="446"/>
        <v/>
      </c>
      <c r="CC207" s="184" t="str">
        <f t="shared" si="447"/>
        <v/>
      </c>
      <c r="CD207" s="184" t="str">
        <f t="shared" si="448"/>
        <v/>
      </c>
      <c r="CE207" s="184" t="str">
        <f t="shared" si="449"/>
        <v/>
      </c>
      <c r="CF207" s="184" t="str">
        <f t="shared" si="450"/>
        <v/>
      </c>
      <c r="CG207" s="184" t="str">
        <f t="shared" si="451"/>
        <v/>
      </c>
      <c r="CH207" s="184" t="str">
        <f t="shared" si="452"/>
        <v/>
      </c>
      <c r="CI207" s="184" t="str">
        <f t="shared" si="453"/>
        <v/>
      </c>
      <c r="CJ207" s="184" t="str">
        <f t="shared" si="454"/>
        <v/>
      </c>
      <c r="CK207" s="184"/>
      <c r="CM207" s="184"/>
      <c r="CN207"/>
      <c r="CP207"/>
      <c r="CR207"/>
      <c r="CT207"/>
      <c r="CV207"/>
      <c r="CX207"/>
      <c r="CZ207"/>
      <c r="DB207"/>
      <c r="DD207"/>
      <c r="DF207"/>
      <c r="ED207" s="184"/>
      <c r="EF207" s="184"/>
      <c r="EH207" s="184"/>
      <c r="EJ207" s="184"/>
      <c r="EL207" s="184"/>
      <c r="EN207" s="184"/>
      <c r="EP207" s="184"/>
      <c r="ER207" s="184"/>
      <c r="ET207" s="184"/>
      <c r="EV207" s="184"/>
      <c r="EX207" s="184"/>
      <c r="EZ207" s="184"/>
      <c r="FB207" s="184"/>
    </row>
    <row r="208" spans="1:158">
      <c r="A208" s="184">
        <f t="shared" si="368"/>
        <v>34</v>
      </c>
      <c r="B208" s="18">
        <f t="shared" si="405"/>
        <v>9080</v>
      </c>
      <c r="C208" s="18">
        <f t="shared" si="482"/>
        <v>11606.666666666646</v>
      </c>
      <c r="D208" s="18">
        <f t="shared" si="483"/>
        <v>15356.666666666646</v>
      </c>
      <c r="E208" s="18">
        <f t="shared" si="458"/>
        <v>17916.666666666664</v>
      </c>
      <c r="F208" s="18">
        <f t="shared" si="459"/>
        <v>8863.3333333333303</v>
      </c>
      <c r="G208" s="18">
        <f t="shared" si="460"/>
        <v>11303.333333333354</v>
      </c>
      <c r="H208" s="18">
        <f t="shared" si="461"/>
        <v>15400</v>
      </c>
      <c r="I208" s="18">
        <f t="shared" si="462"/>
        <v>9036.6666666666661</v>
      </c>
      <c r="J208" s="18">
        <f t="shared" si="463"/>
        <v>11973.333333333354</v>
      </c>
      <c r="K208" s="18">
        <f t="shared" si="464"/>
        <v>15096.666666666646</v>
      </c>
      <c r="L208" s="18">
        <f t="shared" si="465"/>
        <v>18046.666666666668</v>
      </c>
      <c r="M208" s="18">
        <f t="shared" si="466"/>
        <v>22573.333333333296</v>
      </c>
      <c r="N208" s="18">
        <f t="shared" si="467"/>
        <v>12670</v>
      </c>
      <c r="O208" s="18">
        <f t="shared" si="468"/>
        <v>15456.666666666646</v>
      </c>
      <c r="P208" s="18">
        <f t="shared" si="469"/>
        <v>18950</v>
      </c>
      <c r="Q208" s="18">
        <f t="shared" si="470"/>
        <v>22053.333333333292</v>
      </c>
      <c r="R208" s="18">
        <f t="shared" si="471"/>
        <v>31570</v>
      </c>
      <c r="S208" s="18">
        <f t="shared" si="472"/>
        <v>19183.333333333307</v>
      </c>
      <c r="T208" s="18">
        <f t="shared" si="473"/>
        <v>22031.666666666708</v>
      </c>
      <c r="U208" s="18">
        <f t="shared" si="474"/>
        <v>25452.093333333345</v>
      </c>
      <c r="V208" s="18">
        <f t="shared" si="475"/>
        <v>31413.600000000049</v>
      </c>
      <c r="W208" s="18">
        <f t="shared" si="476"/>
        <v>39441.520000000091</v>
      </c>
      <c r="X208" s="18">
        <f t="shared" si="477"/>
        <v>44663.399999999951</v>
      </c>
      <c r="Y208" s="18">
        <f t="shared" si="478"/>
        <v>49233.333333333416</v>
      </c>
      <c r="Z208" s="18">
        <f t="shared" si="478"/>
        <v>38037.333333333372</v>
      </c>
      <c r="AA208" s="18">
        <f t="shared" ref="AA208:AB208" si="548">AA207+(AA$234-AA$174)/60</f>
        <v>46314.666666666584</v>
      </c>
      <c r="AB208" s="18">
        <f t="shared" si="548"/>
        <v>58564</v>
      </c>
      <c r="AC208" s="18">
        <f t="shared" si="477"/>
        <v>12570</v>
      </c>
      <c r="AD208" s="18">
        <f t="shared" ref="AD208:AR208" si="549">AD207+(AD$234-AD$174)/60</f>
        <v>15486.666666666646</v>
      </c>
      <c r="AE208" s="18">
        <f t="shared" si="549"/>
        <v>17793.333333333332</v>
      </c>
      <c r="AF208" s="18">
        <f t="shared" si="549"/>
        <v>21400</v>
      </c>
      <c r="AG208" s="18">
        <f t="shared" si="549"/>
        <v>25796.666666666708</v>
      </c>
      <c r="AH208" s="18">
        <f t="shared" ref="AH208:AK208" si="550">AH207+(AH$234-AH$174)/60</f>
        <v>16573.33333333335</v>
      </c>
      <c r="AI208" s="18">
        <f t="shared" si="550"/>
        <v>19333.333333333314</v>
      </c>
      <c r="AJ208" s="18">
        <f t="shared" si="550"/>
        <v>23050</v>
      </c>
      <c r="AK208" s="18">
        <f t="shared" si="550"/>
        <v>26400</v>
      </c>
      <c r="AL208" s="18">
        <f t="shared" si="549"/>
        <v>22000</v>
      </c>
      <c r="AM208" s="18">
        <f t="shared" si="549"/>
        <v>25000</v>
      </c>
      <c r="AN208" s="18">
        <f t="shared" si="549"/>
        <v>28600</v>
      </c>
      <c r="AO208" s="18">
        <f t="shared" si="549"/>
        <v>45000</v>
      </c>
      <c r="AP208" s="18">
        <f t="shared" si="549"/>
        <v>48000</v>
      </c>
      <c r="AQ208" s="18">
        <f t="shared" si="549"/>
        <v>54000</v>
      </c>
      <c r="AR208" s="18">
        <f t="shared" si="549"/>
        <v>147200</v>
      </c>
      <c r="AS208" s="18">
        <f t="shared" si="412"/>
        <v>16956.521739130436</v>
      </c>
      <c r="AT208" s="184" t="str">
        <f t="shared" si="414"/>
        <v/>
      </c>
      <c r="AU208" s="184" t="str">
        <f t="shared" si="415"/>
        <v/>
      </c>
      <c r="AV208" s="184" t="str">
        <f t="shared" si="416"/>
        <v/>
      </c>
      <c r="AW208" s="184" t="str">
        <f t="shared" si="417"/>
        <v/>
      </c>
      <c r="AX208" s="184" t="str">
        <f t="shared" si="418"/>
        <v/>
      </c>
      <c r="AY208" s="184" t="str">
        <f t="shared" si="419"/>
        <v/>
      </c>
      <c r="AZ208" s="184" t="str">
        <f t="shared" si="420"/>
        <v/>
      </c>
      <c r="BA208" s="184" t="str">
        <f t="shared" si="421"/>
        <v/>
      </c>
      <c r="BB208" s="184" t="str">
        <f t="shared" si="422"/>
        <v/>
      </c>
      <c r="BC208" s="184" t="str">
        <f t="shared" si="423"/>
        <v/>
      </c>
      <c r="BD208" s="184" t="str">
        <f t="shared" si="424"/>
        <v/>
      </c>
      <c r="BE208" s="184" t="str">
        <f t="shared" si="425"/>
        <v/>
      </c>
      <c r="BF208" s="184" t="str">
        <f t="shared" si="426"/>
        <v/>
      </c>
      <c r="BG208" s="184" t="str">
        <f t="shared" si="427"/>
        <v/>
      </c>
      <c r="BH208" s="184" t="str">
        <f t="shared" si="428"/>
        <v/>
      </c>
      <c r="BI208" s="184" t="str">
        <f t="shared" si="429"/>
        <v/>
      </c>
      <c r="BJ208" s="184" t="str">
        <f t="shared" si="430"/>
        <v/>
      </c>
      <c r="BK208" s="184" t="str">
        <f t="shared" si="431"/>
        <v/>
      </c>
      <c r="BL208" s="184" t="str">
        <f t="shared" si="432"/>
        <v/>
      </c>
      <c r="BM208" s="184" t="str">
        <f t="shared" si="433"/>
        <v/>
      </c>
      <c r="BN208" s="184" t="str">
        <f t="shared" si="434"/>
        <v/>
      </c>
      <c r="BO208" s="184" t="str">
        <f t="shared" si="435"/>
        <v/>
      </c>
      <c r="BP208" s="184" t="str">
        <f t="shared" si="436"/>
        <v/>
      </c>
      <c r="BQ208" s="184" t="str">
        <f t="shared" si="437"/>
        <v/>
      </c>
      <c r="BR208" s="184" t="str">
        <f t="shared" si="520"/>
        <v/>
      </c>
      <c r="BS208" s="184" t="str">
        <f t="shared" si="520"/>
        <v/>
      </c>
      <c r="BT208" s="184" t="str">
        <f t="shared" si="520"/>
        <v/>
      </c>
      <c r="BU208" s="184" t="str">
        <f t="shared" si="439"/>
        <v/>
      </c>
      <c r="BV208" s="184" t="str">
        <f t="shared" si="440"/>
        <v/>
      </c>
      <c r="BW208" s="184" t="str">
        <f t="shared" si="441"/>
        <v/>
      </c>
      <c r="BX208" s="184" t="str">
        <f t="shared" si="442"/>
        <v/>
      </c>
      <c r="BY208" s="184" t="str">
        <f t="shared" si="443"/>
        <v/>
      </c>
      <c r="BZ208" s="184" t="str">
        <f t="shared" si="444"/>
        <v/>
      </c>
      <c r="CA208" s="184" t="str">
        <f t="shared" si="445"/>
        <v/>
      </c>
      <c r="CB208" s="184" t="str">
        <f t="shared" si="446"/>
        <v/>
      </c>
      <c r="CC208" s="184" t="str">
        <f t="shared" si="447"/>
        <v/>
      </c>
      <c r="CD208" s="184" t="str">
        <f t="shared" si="448"/>
        <v/>
      </c>
      <c r="CE208" s="184" t="str">
        <f t="shared" si="449"/>
        <v/>
      </c>
      <c r="CF208" s="184" t="str">
        <f t="shared" si="450"/>
        <v/>
      </c>
      <c r="CG208" s="184" t="str">
        <f t="shared" si="451"/>
        <v/>
      </c>
      <c r="CH208" s="184" t="str">
        <f t="shared" si="452"/>
        <v/>
      </c>
      <c r="CI208" s="184" t="str">
        <f t="shared" si="453"/>
        <v/>
      </c>
      <c r="CJ208" s="184" t="str">
        <f t="shared" si="454"/>
        <v/>
      </c>
      <c r="CK208" s="184"/>
      <c r="CM208" s="184"/>
      <c r="CN208"/>
      <c r="CP208"/>
      <c r="CR208"/>
      <c r="CT208"/>
      <c r="CV208"/>
      <c r="CX208"/>
      <c r="CZ208"/>
      <c r="DB208"/>
      <c r="DD208"/>
      <c r="DF208"/>
      <c r="ED208" s="184"/>
      <c r="EF208" s="184"/>
      <c r="EH208" s="184"/>
      <c r="EJ208" s="184"/>
      <c r="EL208" s="184"/>
      <c r="EN208" s="184"/>
      <c r="EP208" s="184"/>
      <c r="ER208" s="184"/>
      <c r="ET208" s="184"/>
      <c r="EV208" s="184"/>
      <c r="EX208" s="184"/>
      <c r="EZ208" s="184"/>
      <c r="FB208" s="184"/>
    </row>
    <row r="209" spans="1:158">
      <c r="A209" s="184">
        <f t="shared" si="368"/>
        <v>34.5</v>
      </c>
      <c r="B209" s="18">
        <f t="shared" si="405"/>
        <v>9150</v>
      </c>
      <c r="C209" s="18">
        <f t="shared" si="482"/>
        <v>11683.333333333312</v>
      </c>
      <c r="D209" s="18">
        <f t="shared" si="483"/>
        <v>15458.333333333312</v>
      </c>
      <c r="E209" s="18">
        <f t="shared" si="458"/>
        <v>18058.333333333332</v>
      </c>
      <c r="F209" s="18">
        <f t="shared" si="459"/>
        <v>8941.6666666666642</v>
      </c>
      <c r="G209" s="18">
        <f t="shared" si="460"/>
        <v>11391.666666666688</v>
      </c>
      <c r="H209" s="18">
        <f t="shared" si="461"/>
        <v>15500</v>
      </c>
      <c r="I209" s="18">
        <f t="shared" si="462"/>
        <v>9108.3333333333321</v>
      </c>
      <c r="J209" s="18">
        <f t="shared" si="463"/>
        <v>12066.666666666688</v>
      </c>
      <c r="K209" s="18">
        <f t="shared" si="464"/>
        <v>15208.333333333312</v>
      </c>
      <c r="L209" s="18">
        <f t="shared" si="465"/>
        <v>18183.333333333336</v>
      </c>
      <c r="M209" s="18">
        <f t="shared" si="466"/>
        <v>22766.666666666628</v>
      </c>
      <c r="N209" s="18">
        <f t="shared" si="467"/>
        <v>12725</v>
      </c>
      <c r="O209" s="18">
        <f t="shared" si="468"/>
        <v>15558.333333333312</v>
      </c>
      <c r="P209" s="18">
        <f t="shared" si="469"/>
        <v>19025</v>
      </c>
      <c r="Q209" s="18">
        <f t="shared" si="470"/>
        <v>22166.666666666624</v>
      </c>
      <c r="R209" s="18">
        <f t="shared" si="471"/>
        <v>31775</v>
      </c>
      <c r="S209" s="18">
        <f t="shared" si="472"/>
        <v>19291.666666666639</v>
      </c>
      <c r="T209" s="18">
        <f t="shared" si="473"/>
        <v>22145.833333333376</v>
      </c>
      <c r="U209" s="18">
        <f t="shared" si="474"/>
        <v>25573.166666666679</v>
      </c>
      <c r="V209" s="18">
        <f t="shared" si="475"/>
        <v>31590.000000000051</v>
      </c>
      <c r="W209" s="18">
        <f t="shared" si="476"/>
        <v>39663.000000000095</v>
      </c>
      <c r="X209" s="18">
        <f t="shared" si="477"/>
        <v>45022.499999999949</v>
      </c>
      <c r="Y209" s="18">
        <f t="shared" si="478"/>
        <v>49416.666666666752</v>
      </c>
      <c r="Z209" s="18">
        <f t="shared" si="478"/>
        <v>38266.666666666708</v>
      </c>
      <c r="AA209" s="18">
        <f t="shared" ref="AA209:AB209" si="551">AA208+(AA$234-AA$174)/60</f>
        <v>46533.333333333248</v>
      </c>
      <c r="AB209" s="18">
        <f t="shared" si="551"/>
        <v>58850</v>
      </c>
      <c r="AC209" s="18">
        <f t="shared" si="477"/>
        <v>12625</v>
      </c>
      <c r="AD209" s="18">
        <f t="shared" ref="AD209:AR209" si="552">AD208+(AD$234-AD$174)/60</f>
        <v>15583.333333333312</v>
      </c>
      <c r="AE209" s="18">
        <f t="shared" si="552"/>
        <v>17916.666666666664</v>
      </c>
      <c r="AF209" s="18">
        <f t="shared" si="552"/>
        <v>21500</v>
      </c>
      <c r="AG209" s="18">
        <f t="shared" si="552"/>
        <v>25958.333333333376</v>
      </c>
      <c r="AH209" s="18">
        <f t="shared" ref="AH209:AK209" si="553">AH208+(AH$234-AH$174)/60</f>
        <v>16666.666666666682</v>
      </c>
      <c r="AI209" s="18">
        <f t="shared" si="553"/>
        <v>19466.666666666646</v>
      </c>
      <c r="AJ209" s="18">
        <f t="shared" si="553"/>
        <v>23125</v>
      </c>
      <c r="AK209" s="18">
        <f t="shared" si="553"/>
        <v>26500</v>
      </c>
      <c r="AL209" s="18">
        <f t="shared" si="552"/>
        <v>22000</v>
      </c>
      <c r="AM209" s="18">
        <f t="shared" si="552"/>
        <v>25000</v>
      </c>
      <c r="AN209" s="18">
        <f t="shared" si="552"/>
        <v>28600</v>
      </c>
      <c r="AO209" s="18">
        <f t="shared" si="552"/>
        <v>45000</v>
      </c>
      <c r="AP209" s="18">
        <f t="shared" si="552"/>
        <v>48000</v>
      </c>
      <c r="AQ209" s="18">
        <f t="shared" si="552"/>
        <v>54000</v>
      </c>
      <c r="AR209" s="18">
        <f t="shared" si="552"/>
        <v>147200</v>
      </c>
      <c r="AS209" s="18">
        <f t="shared" si="412"/>
        <v>16630.434782608696</v>
      </c>
      <c r="AT209" s="184" t="str">
        <f t="shared" si="414"/>
        <v/>
      </c>
      <c r="AU209" s="184" t="str">
        <f t="shared" si="415"/>
        <v/>
      </c>
      <c r="AV209" s="184" t="str">
        <f t="shared" si="416"/>
        <v/>
      </c>
      <c r="AW209" s="184" t="str">
        <f t="shared" si="417"/>
        <v/>
      </c>
      <c r="AX209" s="184" t="str">
        <f t="shared" si="418"/>
        <v/>
      </c>
      <c r="AY209" s="184" t="str">
        <f t="shared" si="419"/>
        <v/>
      </c>
      <c r="AZ209" s="184" t="str">
        <f t="shared" si="420"/>
        <v/>
      </c>
      <c r="BA209" s="184" t="str">
        <f t="shared" si="421"/>
        <v/>
      </c>
      <c r="BB209" s="184" t="str">
        <f t="shared" si="422"/>
        <v/>
      </c>
      <c r="BC209" s="184" t="str">
        <f t="shared" si="423"/>
        <v/>
      </c>
      <c r="BD209" s="184" t="str">
        <f t="shared" si="424"/>
        <v/>
      </c>
      <c r="BE209" s="184" t="str">
        <f t="shared" si="425"/>
        <v/>
      </c>
      <c r="BF209" s="184" t="str">
        <f t="shared" si="426"/>
        <v/>
      </c>
      <c r="BG209" s="184" t="str">
        <f t="shared" si="427"/>
        <v/>
      </c>
      <c r="BH209" s="184" t="str">
        <f t="shared" si="428"/>
        <v/>
      </c>
      <c r="BI209" s="184" t="str">
        <f t="shared" si="429"/>
        <v/>
      </c>
      <c r="BJ209" s="184" t="str">
        <f t="shared" si="430"/>
        <v/>
      </c>
      <c r="BK209" s="184" t="str">
        <f t="shared" si="431"/>
        <v/>
      </c>
      <c r="BL209" s="184" t="str">
        <f t="shared" si="432"/>
        <v/>
      </c>
      <c r="BM209" s="184" t="str">
        <f t="shared" si="433"/>
        <v/>
      </c>
      <c r="BN209" s="184" t="str">
        <f t="shared" si="434"/>
        <v/>
      </c>
      <c r="BO209" s="184" t="str">
        <f t="shared" si="435"/>
        <v/>
      </c>
      <c r="BP209" s="184" t="str">
        <f t="shared" si="436"/>
        <v/>
      </c>
      <c r="BQ209" s="184" t="str">
        <f t="shared" si="437"/>
        <v/>
      </c>
      <c r="BR209" s="184" t="str">
        <f t="shared" si="520"/>
        <v/>
      </c>
      <c r="BS209" s="184" t="str">
        <f t="shared" si="520"/>
        <v/>
      </c>
      <c r="BT209" s="184" t="str">
        <f t="shared" si="520"/>
        <v/>
      </c>
      <c r="BU209" s="184" t="str">
        <f t="shared" si="439"/>
        <v/>
      </c>
      <c r="BV209" s="184" t="str">
        <f t="shared" si="440"/>
        <v/>
      </c>
      <c r="BW209" s="184" t="str">
        <f t="shared" si="441"/>
        <v/>
      </c>
      <c r="BX209" s="184" t="str">
        <f t="shared" si="442"/>
        <v/>
      </c>
      <c r="BY209" s="184" t="str">
        <f t="shared" si="443"/>
        <v/>
      </c>
      <c r="BZ209" s="184">
        <f t="shared" si="444"/>
        <v>1</v>
      </c>
      <c r="CA209" s="184" t="str">
        <f t="shared" si="445"/>
        <v/>
      </c>
      <c r="CB209" s="184" t="str">
        <f t="shared" si="446"/>
        <v/>
      </c>
      <c r="CC209" s="184" t="str">
        <f t="shared" si="447"/>
        <v/>
      </c>
      <c r="CD209" s="184" t="str">
        <f t="shared" si="448"/>
        <v/>
      </c>
      <c r="CE209" s="184" t="str">
        <f t="shared" si="449"/>
        <v/>
      </c>
      <c r="CF209" s="184" t="str">
        <f t="shared" si="450"/>
        <v/>
      </c>
      <c r="CG209" s="184" t="str">
        <f t="shared" si="451"/>
        <v/>
      </c>
      <c r="CH209" s="184" t="str">
        <f t="shared" si="452"/>
        <v/>
      </c>
      <c r="CI209" s="184" t="str">
        <f t="shared" si="453"/>
        <v/>
      </c>
      <c r="CJ209" s="184" t="str">
        <f t="shared" si="454"/>
        <v/>
      </c>
      <c r="CK209" s="184"/>
      <c r="CM209" s="184"/>
      <c r="CN209"/>
      <c r="CP209"/>
      <c r="CR209"/>
      <c r="CT209"/>
      <c r="CV209"/>
      <c r="CX209"/>
      <c r="CZ209"/>
      <c r="DB209"/>
      <c r="DD209"/>
      <c r="DF209"/>
      <c r="ED209" s="184"/>
      <c r="EF209" s="184"/>
      <c r="EH209" s="184"/>
      <c r="EJ209" s="184"/>
      <c r="EL209" s="184"/>
      <c r="EN209" s="184"/>
      <c r="EP209" s="184"/>
      <c r="ER209" s="184"/>
      <c r="ET209" s="184"/>
      <c r="EV209" s="184"/>
      <c r="EX209" s="184"/>
      <c r="EZ209" s="184"/>
      <c r="FB209" s="184"/>
    </row>
    <row r="210" spans="1:158">
      <c r="A210" s="184">
        <f t="shared" si="368"/>
        <v>35</v>
      </c>
      <c r="B210" s="18">
        <f t="shared" si="405"/>
        <v>9220</v>
      </c>
      <c r="C210" s="18">
        <f t="shared" si="482"/>
        <v>11759.999999999978</v>
      </c>
      <c r="D210" s="18">
        <f t="shared" si="483"/>
        <v>15559.999999999978</v>
      </c>
      <c r="E210" s="18">
        <f t="shared" si="458"/>
        <v>18200</v>
      </c>
      <c r="F210" s="18">
        <f t="shared" si="459"/>
        <v>9019.9999999999982</v>
      </c>
      <c r="G210" s="18">
        <f t="shared" si="460"/>
        <v>11480.000000000022</v>
      </c>
      <c r="H210" s="18">
        <f t="shared" si="461"/>
        <v>15600</v>
      </c>
      <c r="I210" s="18">
        <f t="shared" si="462"/>
        <v>9179.9999999999982</v>
      </c>
      <c r="J210" s="18">
        <f t="shared" si="463"/>
        <v>12160.000000000022</v>
      </c>
      <c r="K210" s="18">
        <f t="shared" si="464"/>
        <v>15319.999999999978</v>
      </c>
      <c r="L210" s="18">
        <f t="shared" si="465"/>
        <v>18320.000000000004</v>
      </c>
      <c r="M210" s="18">
        <f t="shared" si="466"/>
        <v>22959.99999999996</v>
      </c>
      <c r="N210" s="18">
        <f t="shared" si="467"/>
        <v>12780</v>
      </c>
      <c r="O210" s="18">
        <f t="shared" si="468"/>
        <v>15659.999999999978</v>
      </c>
      <c r="P210" s="18">
        <f t="shared" si="469"/>
        <v>19100</v>
      </c>
      <c r="Q210" s="18">
        <f t="shared" si="470"/>
        <v>22279.999999999956</v>
      </c>
      <c r="R210" s="18">
        <f t="shared" si="471"/>
        <v>31980</v>
      </c>
      <c r="S210" s="18">
        <f t="shared" si="472"/>
        <v>19399.999999999971</v>
      </c>
      <c r="T210" s="18">
        <f t="shared" si="473"/>
        <v>22260.000000000044</v>
      </c>
      <c r="U210" s="18">
        <f t="shared" si="474"/>
        <v>25694.240000000013</v>
      </c>
      <c r="V210" s="18">
        <f t="shared" si="475"/>
        <v>31766.400000000052</v>
      </c>
      <c r="W210" s="18">
        <f t="shared" si="476"/>
        <v>39884.480000000098</v>
      </c>
      <c r="X210" s="18">
        <f t="shared" si="477"/>
        <v>45381.599999999948</v>
      </c>
      <c r="Y210" s="18">
        <f t="shared" si="478"/>
        <v>49600.000000000087</v>
      </c>
      <c r="Z210" s="18">
        <f t="shared" si="478"/>
        <v>38496.000000000044</v>
      </c>
      <c r="AA210" s="18">
        <f t="shared" ref="AA210:AB210" si="554">AA209+(AA$234-AA$174)/60</f>
        <v>46751.999999999913</v>
      </c>
      <c r="AB210" s="18">
        <f t="shared" si="554"/>
        <v>59136</v>
      </c>
      <c r="AC210" s="18">
        <f t="shared" si="477"/>
        <v>12680</v>
      </c>
      <c r="AD210" s="18">
        <f t="shared" ref="AD210:AR210" si="555">AD209+(AD$234-AD$174)/60</f>
        <v>15679.999999999978</v>
      </c>
      <c r="AE210" s="18">
        <f t="shared" si="555"/>
        <v>18039.999999999996</v>
      </c>
      <c r="AF210" s="18">
        <f t="shared" si="555"/>
        <v>21600</v>
      </c>
      <c r="AG210" s="18">
        <f t="shared" si="555"/>
        <v>26120.000000000044</v>
      </c>
      <c r="AH210" s="18">
        <f t="shared" ref="AH210:AK210" si="556">AH209+(AH$234-AH$174)/60</f>
        <v>16760.000000000015</v>
      </c>
      <c r="AI210" s="18">
        <f t="shared" si="556"/>
        <v>19599.999999999978</v>
      </c>
      <c r="AJ210" s="18">
        <f t="shared" si="556"/>
        <v>23200</v>
      </c>
      <c r="AK210" s="18">
        <f t="shared" si="556"/>
        <v>26600</v>
      </c>
      <c r="AL210" s="18">
        <f t="shared" si="555"/>
        <v>22000</v>
      </c>
      <c r="AM210" s="18">
        <f t="shared" si="555"/>
        <v>25000</v>
      </c>
      <c r="AN210" s="18">
        <f t="shared" si="555"/>
        <v>28600</v>
      </c>
      <c r="AO210" s="18">
        <f t="shared" si="555"/>
        <v>45000</v>
      </c>
      <c r="AP210" s="18">
        <f t="shared" si="555"/>
        <v>48000</v>
      </c>
      <c r="AQ210" s="18">
        <f t="shared" si="555"/>
        <v>54000</v>
      </c>
      <c r="AR210" s="18">
        <f t="shared" si="555"/>
        <v>147200</v>
      </c>
      <c r="AS210" s="18">
        <f t="shared" si="412"/>
        <v>16304.347826086956</v>
      </c>
      <c r="AT210" s="184" t="str">
        <f t="shared" si="414"/>
        <v/>
      </c>
      <c r="AU210" s="184" t="str">
        <f t="shared" si="415"/>
        <v/>
      </c>
      <c r="AV210" s="184" t="str">
        <f t="shared" si="416"/>
        <v/>
      </c>
      <c r="AW210" s="184" t="str">
        <f t="shared" si="417"/>
        <v/>
      </c>
      <c r="AX210" s="184" t="str">
        <f t="shared" si="418"/>
        <v/>
      </c>
      <c r="AY210" s="184" t="str">
        <f t="shared" si="419"/>
        <v/>
      </c>
      <c r="AZ210" s="184" t="str">
        <f t="shared" si="420"/>
        <v/>
      </c>
      <c r="BA210" s="184" t="str">
        <f t="shared" si="421"/>
        <v/>
      </c>
      <c r="BB210" s="184" t="str">
        <f t="shared" si="422"/>
        <v/>
      </c>
      <c r="BC210" s="184" t="str">
        <f t="shared" si="423"/>
        <v/>
      </c>
      <c r="BD210" s="184" t="str">
        <f t="shared" si="424"/>
        <v/>
      </c>
      <c r="BE210" s="184" t="str">
        <f t="shared" si="425"/>
        <v/>
      </c>
      <c r="BF210" s="184" t="str">
        <f t="shared" si="426"/>
        <v/>
      </c>
      <c r="BG210" s="184" t="str">
        <f t="shared" si="427"/>
        <v/>
      </c>
      <c r="BH210" s="184" t="str">
        <f t="shared" si="428"/>
        <v/>
      </c>
      <c r="BI210" s="184" t="str">
        <f t="shared" si="429"/>
        <v/>
      </c>
      <c r="BJ210" s="184" t="str">
        <f t="shared" si="430"/>
        <v/>
      </c>
      <c r="BK210" s="184" t="str">
        <f t="shared" si="431"/>
        <v/>
      </c>
      <c r="BL210" s="184" t="str">
        <f t="shared" si="432"/>
        <v/>
      </c>
      <c r="BM210" s="184" t="str">
        <f t="shared" si="433"/>
        <v/>
      </c>
      <c r="BN210" s="184" t="str">
        <f t="shared" si="434"/>
        <v/>
      </c>
      <c r="BO210" s="184" t="str">
        <f t="shared" si="435"/>
        <v/>
      </c>
      <c r="BP210" s="184" t="str">
        <f t="shared" si="436"/>
        <v/>
      </c>
      <c r="BQ210" s="184" t="str">
        <f t="shared" si="437"/>
        <v/>
      </c>
      <c r="BR210" s="184" t="str">
        <f t="shared" si="520"/>
        <v/>
      </c>
      <c r="BS210" s="184" t="str">
        <f t="shared" si="520"/>
        <v/>
      </c>
      <c r="BT210" s="184" t="str">
        <f t="shared" si="520"/>
        <v/>
      </c>
      <c r="BU210" s="184" t="str">
        <f t="shared" si="439"/>
        <v/>
      </c>
      <c r="BV210" s="184" t="str">
        <f t="shared" si="440"/>
        <v/>
      </c>
      <c r="BW210" s="184" t="str">
        <f t="shared" si="441"/>
        <v/>
      </c>
      <c r="BX210" s="184" t="str">
        <f t="shared" si="442"/>
        <v/>
      </c>
      <c r="BY210" s="184" t="str">
        <f t="shared" si="443"/>
        <v/>
      </c>
      <c r="BZ210" s="184" t="str">
        <f t="shared" si="444"/>
        <v/>
      </c>
      <c r="CA210" s="184" t="str">
        <f t="shared" si="445"/>
        <v/>
      </c>
      <c r="CB210" s="184" t="str">
        <f t="shared" si="446"/>
        <v/>
      </c>
      <c r="CC210" s="184" t="str">
        <f t="shared" si="447"/>
        <v/>
      </c>
      <c r="CD210" s="184" t="str">
        <f t="shared" si="448"/>
        <v/>
      </c>
      <c r="CE210" s="184" t="str">
        <f t="shared" si="449"/>
        <v/>
      </c>
      <c r="CF210" s="184" t="str">
        <f t="shared" si="450"/>
        <v/>
      </c>
      <c r="CG210" s="184" t="str">
        <f t="shared" si="451"/>
        <v/>
      </c>
      <c r="CH210" s="184" t="str">
        <f t="shared" si="452"/>
        <v/>
      </c>
      <c r="CI210" s="184" t="str">
        <f t="shared" si="453"/>
        <v/>
      </c>
      <c r="CJ210" s="184" t="str">
        <f t="shared" si="454"/>
        <v/>
      </c>
      <c r="CK210" s="184"/>
      <c r="CM210" s="184"/>
      <c r="CN210"/>
      <c r="CP210"/>
      <c r="CR210"/>
      <c r="CT210"/>
      <c r="CV210"/>
      <c r="CX210"/>
      <c r="CZ210"/>
      <c r="DB210"/>
      <c r="DD210"/>
      <c r="DF210"/>
      <c r="ED210" s="184"/>
      <c r="EF210" s="184"/>
      <c r="EH210" s="184"/>
      <c r="EJ210" s="184"/>
      <c r="EL210" s="184"/>
      <c r="EN210" s="184"/>
      <c r="EP210" s="184"/>
      <c r="ER210" s="184"/>
      <c r="ET210" s="184"/>
      <c r="EV210" s="184"/>
      <c r="EX210" s="184"/>
      <c r="EZ210" s="184"/>
      <c r="FB210" s="184"/>
    </row>
    <row r="211" spans="1:158">
      <c r="A211" s="184">
        <f t="shared" si="368"/>
        <v>35.5</v>
      </c>
      <c r="B211" s="18">
        <f t="shared" si="405"/>
        <v>9290</v>
      </c>
      <c r="C211" s="18">
        <f t="shared" si="482"/>
        <v>11836.666666666644</v>
      </c>
      <c r="D211" s="18">
        <f t="shared" si="483"/>
        <v>15661.666666666644</v>
      </c>
      <c r="E211" s="18">
        <f t="shared" si="458"/>
        <v>18341.666666666668</v>
      </c>
      <c r="F211" s="18">
        <f t="shared" si="459"/>
        <v>9098.3333333333321</v>
      </c>
      <c r="G211" s="18">
        <f t="shared" si="460"/>
        <v>11568.333333333356</v>
      </c>
      <c r="H211" s="18">
        <f t="shared" si="461"/>
        <v>15700</v>
      </c>
      <c r="I211" s="18">
        <f t="shared" si="462"/>
        <v>9251.6666666666642</v>
      </c>
      <c r="J211" s="18">
        <f t="shared" si="463"/>
        <v>12253.333333333356</v>
      </c>
      <c r="K211" s="18">
        <f t="shared" si="464"/>
        <v>15431.666666666644</v>
      </c>
      <c r="L211" s="18">
        <f t="shared" si="465"/>
        <v>18456.666666666672</v>
      </c>
      <c r="M211" s="18">
        <f t="shared" si="466"/>
        <v>23153.333333333292</v>
      </c>
      <c r="N211" s="18">
        <f t="shared" si="467"/>
        <v>12835</v>
      </c>
      <c r="O211" s="18">
        <f t="shared" si="468"/>
        <v>15761.666666666644</v>
      </c>
      <c r="P211" s="18">
        <f t="shared" si="469"/>
        <v>19175</v>
      </c>
      <c r="Q211" s="18">
        <f t="shared" si="470"/>
        <v>22393.333333333288</v>
      </c>
      <c r="R211" s="18">
        <f t="shared" si="471"/>
        <v>32185</v>
      </c>
      <c r="S211" s="18">
        <f t="shared" si="472"/>
        <v>19508.333333333303</v>
      </c>
      <c r="T211" s="18">
        <f t="shared" si="473"/>
        <v>22374.166666666712</v>
      </c>
      <c r="U211" s="18">
        <f t="shared" si="474"/>
        <v>25815.313333333346</v>
      </c>
      <c r="V211" s="18">
        <f t="shared" si="475"/>
        <v>31942.800000000054</v>
      </c>
      <c r="W211" s="18">
        <f t="shared" si="476"/>
        <v>40105.960000000101</v>
      </c>
      <c r="X211" s="18">
        <f t="shared" si="477"/>
        <v>45740.699999999946</v>
      </c>
      <c r="Y211" s="18">
        <f t="shared" si="478"/>
        <v>49783.333333333423</v>
      </c>
      <c r="Z211" s="18">
        <f t="shared" si="478"/>
        <v>38725.333333333379</v>
      </c>
      <c r="AA211" s="18">
        <f t="shared" ref="AA211:AB211" si="557">AA210+(AA$234-AA$174)/60</f>
        <v>46970.666666666577</v>
      </c>
      <c r="AB211" s="18">
        <f t="shared" si="557"/>
        <v>59422</v>
      </c>
      <c r="AC211" s="18">
        <f t="shared" si="477"/>
        <v>12735</v>
      </c>
      <c r="AD211" s="18">
        <f t="shared" ref="AD211:AR211" si="558">AD210+(AD$234-AD$174)/60</f>
        <v>15776.666666666644</v>
      </c>
      <c r="AE211" s="18">
        <f t="shared" si="558"/>
        <v>18163.333333333328</v>
      </c>
      <c r="AF211" s="18">
        <f t="shared" si="558"/>
        <v>21700</v>
      </c>
      <c r="AG211" s="18">
        <f t="shared" si="558"/>
        <v>26281.666666666712</v>
      </c>
      <c r="AH211" s="18">
        <f t="shared" ref="AH211:AK211" si="559">AH210+(AH$234-AH$174)/60</f>
        <v>16853.333333333347</v>
      </c>
      <c r="AI211" s="18">
        <f t="shared" si="559"/>
        <v>19733.33333333331</v>
      </c>
      <c r="AJ211" s="18">
        <f t="shared" si="559"/>
        <v>23275</v>
      </c>
      <c r="AK211" s="18">
        <f t="shared" si="559"/>
        <v>26700</v>
      </c>
      <c r="AL211" s="18">
        <f t="shared" si="558"/>
        <v>22000</v>
      </c>
      <c r="AM211" s="18">
        <f t="shared" si="558"/>
        <v>25000</v>
      </c>
      <c r="AN211" s="18">
        <f t="shared" si="558"/>
        <v>28600</v>
      </c>
      <c r="AO211" s="18">
        <f t="shared" si="558"/>
        <v>45000</v>
      </c>
      <c r="AP211" s="18">
        <f t="shared" si="558"/>
        <v>48000</v>
      </c>
      <c r="AQ211" s="18">
        <f t="shared" si="558"/>
        <v>54000</v>
      </c>
      <c r="AR211" s="18">
        <f t="shared" si="558"/>
        <v>147200</v>
      </c>
      <c r="AS211" s="18">
        <f t="shared" si="412"/>
        <v>15978.260869565218</v>
      </c>
      <c r="AT211" s="184" t="str">
        <f t="shared" si="414"/>
        <v/>
      </c>
      <c r="AU211" s="184" t="str">
        <f t="shared" si="415"/>
        <v/>
      </c>
      <c r="AV211" s="184" t="str">
        <f t="shared" si="416"/>
        <v/>
      </c>
      <c r="AW211" s="184" t="str">
        <f t="shared" si="417"/>
        <v/>
      </c>
      <c r="AX211" s="184" t="str">
        <f t="shared" si="418"/>
        <v/>
      </c>
      <c r="AY211" s="184" t="str">
        <f t="shared" si="419"/>
        <v/>
      </c>
      <c r="AZ211" s="184" t="str">
        <f t="shared" si="420"/>
        <v/>
      </c>
      <c r="BA211" s="184" t="str">
        <f t="shared" si="421"/>
        <v/>
      </c>
      <c r="BB211" s="184" t="str">
        <f t="shared" si="422"/>
        <v/>
      </c>
      <c r="BC211" s="184" t="str">
        <f t="shared" si="423"/>
        <v/>
      </c>
      <c r="BD211" s="184" t="str">
        <f t="shared" si="424"/>
        <v/>
      </c>
      <c r="BE211" s="184" t="str">
        <f t="shared" si="425"/>
        <v/>
      </c>
      <c r="BF211" s="184" t="str">
        <f t="shared" si="426"/>
        <v/>
      </c>
      <c r="BG211" s="184" t="str">
        <f t="shared" si="427"/>
        <v/>
      </c>
      <c r="BH211" s="184" t="str">
        <f t="shared" si="428"/>
        <v/>
      </c>
      <c r="BI211" s="184" t="str">
        <f t="shared" si="429"/>
        <v/>
      </c>
      <c r="BJ211" s="184" t="str">
        <f t="shared" si="430"/>
        <v/>
      </c>
      <c r="BK211" s="184" t="str">
        <f t="shared" si="431"/>
        <v/>
      </c>
      <c r="BL211" s="184" t="str">
        <f t="shared" si="432"/>
        <v/>
      </c>
      <c r="BM211" s="184" t="str">
        <f t="shared" si="433"/>
        <v/>
      </c>
      <c r="BN211" s="184" t="str">
        <f t="shared" si="434"/>
        <v/>
      </c>
      <c r="BO211" s="184" t="str">
        <f t="shared" si="435"/>
        <v/>
      </c>
      <c r="BP211" s="184" t="str">
        <f t="shared" si="436"/>
        <v/>
      </c>
      <c r="BQ211" s="184" t="str">
        <f t="shared" si="437"/>
        <v/>
      </c>
      <c r="BR211" s="184" t="str">
        <f t="shared" si="520"/>
        <v/>
      </c>
      <c r="BS211" s="184" t="str">
        <f t="shared" si="520"/>
        <v/>
      </c>
      <c r="BT211" s="184" t="str">
        <f t="shared" si="520"/>
        <v/>
      </c>
      <c r="BU211" s="184" t="str">
        <f t="shared" si="439"/>
        <v/>
      </c>
      <c r="BV211" s="184" t="str">
        <f t="shared" si="440"/>
        <v/>
      </c>
      <c r="BW211" s="184" t="str">
        <f t="shared" si="441"/>
        <v/>
      </c>
      <c r="BX211" s="184" t="str">
        <f t="shared" si="442"/>
        <v/>
      </c>
      <c r="BY211" s="184" t="str">
        <f t="shared" si="443"/>
        <v/>
      </c>
      <c r="BZ211" s="184" t="str">
        <f t="shared" si="444"/>
        <v/>
      </c>
      <c r="CA211" s="184" t="str">
        <f t="shared" si="445"/>
        <v/>
      </c>
      <c r="CB211" s="184" t="str">
        <f t="shared" si="446"/>
        <v/>
      </c>
      <c r="CC211" s="184" t="str">
        <f t="shared" si="447"/>
        <v/>
      </c>
      <c r="CD211" s="184" t="str">
        <f t="shared" si="448"/>
        <v/>
      </c>
      <c r="CE211" s="184" t="str">
        <f t="shared" si="449"/>
        <v/>
      </c>
      <c r="CF211" s="184" t="str">
        <f t="shared" si="450"/>
        <v/>
      </c>
      <c r="CG211" s="184" t="str">
        <f t="shared" si="451"/>
        <v/>
      </c>
      <c r="CH211" s="184" t="str">
        <f t="shared" si="452"/>
        <v/>
      </c>
      <c r="CI211" s="184" t="str">
        <f t="shared" si="453"/>
        <v/>
      </c>
      <c r="CJ211" s="184" t="str">
        <f t="shared" si="454"/>
        <v/>
      </c>
      <c r="CK211" s="184"/>
      <c r="CM211" s="184"/>
      <c r="CN211"/>
      <c r="CP211"/>
      <c r="CR211"/>
      <c r="CT211"/>
      <c r="CV211"/>
      <c r="CX211"/>
      <c r="CZ211"/>
      <c r="DB211"/>
      <c r="DD211"/>
      <c r="DF211"/>
      <c r="ED211" s="184"/>
      <c r="EF211" s="184"/>
      <c r="EH211" s="184"/>
      <c r="EJ211" s="184"/>
      <c r="EL211" s="184"/>
      <c r="EN211" s="184"/>
      <c r="EP211" s="184"/>
      <c r="ER211" s="184"/>
      <c r="ET211" s="184"/>
      <c r="EV211" s="184"/>
      <c r="EX211" s="184"/>
      <c r="EZ211" s="184"/>
      <c r="FB211" s="184"/>
    </row>
    <row r="212" spans="1:158">
      <c r="A212" s="184">
        <f t="shared" si="368"/>
        <v>36</v>
      </c>
      <c r="B212" s="18">
        <f t="shared" si="405"/>
        <v>9360</v>
      </c>
      <c r="C212" s="18">
        <f t="shared" si="482"/>
        <v>11913.33333333331</v>
      </c>
      <c r="D212" s="18">
        <f t="shared" si="483"/>
        <v>15763.33333333331</v>
      </c>
      <c r="E212" s="18">
        <f t="shared" si="458"/>
        <v>18483.333333333336</v>
      </c>
      <c r="F212" s="18">
        <f t="shared" si="459"/>
        <v>9176.6666666666661</v>
      </c>
      <c r="G212" s="18">
        <f t="shared" si="460"/>
        <v>11656.66666666669</v>
      </c>
      <c r="H212" s="18">
        <f t="shared" si="461"/>
        <v>15800</v>
      </c>
      <c r="I212" s="18">
        <f t="shared" si="462"/>
        <v>9323.3333333333303</v>
      </c>
      <c r="J212" s="18">
        <f t="shared" si="463"/>
        <v>12346.66666666669</v>
      </c>
      <c r="K212" s="18">
        <f t="shared" si="464"/>
        <v>15543.33333333331</v>
      </c>
      <c r="L212" s="18">
        <f t="shared" si="465"/>
        <v>18593.333333333339</v>
      </c>
      <c r="M212" s="18">
        <f t="shared" si="466"/>
        <v>23346.666666666624</v>
      </c>
      <c r="N212" s="18">
        <f t="shared" si="467"/>
        <v>12890</v>
      </c>
      <c r="O212" s="18">
        <f t="shared" si="468"/>
        <v>15863.33333333331</v>
      </c>
      <c r="P212" s="18">
        <f t="shared" si="469"/>
        <v>19250</v>
      </c>
      <c r="Q212" s="18">
        <f t="shared" si="470"/>
        <v>22506.666666666621</v>
      </c>
      <c r="R212" s="18">
        <f t="shared" si="471"/>
        <v>32390</v>
      </c>
      <c r="S212" s="18">
        <f t="shared" si="472"/>
        <v>19616.666666666635</v>
      </c>
      <c r="T212" s="18">
        <f t="shared" si="473"/>
        <v>22488.333333333379</v>
      </c>
      <c r="U212" s="18">
        <f t="shared" si="474"/>
        <v>25936.38666666668</v>
      </c>
      <c r="V212" s="18">
        <f t="shared" si="475"/>
        <v>32119.200000000055</v>
      </c>
      <c r="W212" s="18">
        <f t="shared" si="476"/>
        <v>40327.440000000104</v>
      </c>
      <c r="X212" s="18">
        <f t="shared" si="477"/>
        <v>46099.799999999945</v>
      </c>
      <c r="Y212" s="18">
        <f t="shared" si="478"/>
        <v>49966.666666666759</v>
      </c>
      <c r="Z212" s="18">
        <f t="shared" si="478"/>
        <v>38954.666666666715</v>
      </c>
      <c r="AA212" s="18">
        <f t="shared" ref="AA212:AB212" si="560">AA211+(AA$234-AA$174)/60</f>
        <v>47189.333333333241</v>
      </c>
      <c r="AB212" s="18">
        <f t="shared" si="560"/>
        <v>59708</v>
      </c>
      <c r="AC212" s="18">
        <f t="shared" si="477"/>
        <v>12790</v>
      </c>
      <c r="AD212" s="18">
        <f t="shared" ref="AD212:AR212" si="561">AD211+(AD$234-AD$174)/60</f>
        <v>15873.33333333331</v>
      </c>
      <c r="AE212" s="18">
        <f t="shared" si="561"/>
        <v>18286.666666666661</v>
      </c>
      <c r="AF212" s="18">
        <f t="shared" si="561"/>
        <v>21800</v>
      </c>
      <c r="AG212" s="18">
        <f t="shared" si="561"/>
        <v>26443.333333333379</v>
      </c>
      <c r="AH212" s="18">
        <f t="shared" ref="AH212:AK212" si="562">AH211+(AH$234-AH$174)/60</f>
        <v>16946.666666666679</v>
      </c>
      <c r="AI212" s="18">
        <f t="shared" si="562"/>
        <v>19866.666666666642</v>
      </c>
      <c r="AJ212" s="18">
        <f t="shared" si="562"/>
        <v>23350</v>
      </c>
      <c r="AK212" s="18">
        <f t="shared" si="562"/>
        <v>26800</v>
      </c>
      <c r="AL212" s="18">
        <f t="shared" si="561"/>
        <v>22000</v>
      </c>
      <c r="AM212" s="18">
        <f t="shared" si="561"/>
        <v>25000</v>
      </c>
      <c r="AN212" s="18">
        <f t="shared" si="561"/>
        <v>28600</v>
      </c>
      <c r="AO212" s="18">
        <f t="shared" si="561"/>
        <v>45000</v>
      </c>
      <c r="AP212" s="18">
        <f t="shared" si="561"/>
        <v>48000</v>
      </c>
      <c r="AQ212" s="18">
        <f t="shared" si="561"/>
        <v>54000</v>
      </c>
      <c r="AR212" s="18">
        <f t="shared" si="561"/>
        <v>147200</v>
      </c>
      <c r="AS212" s="18">
        <f t="shared" si="412"/>
        <v>15652.173913043478</v>
      </c>
      <c r="AT212" s="184" t="str">
        <f t="shared" si="414"/>
        <v/>
      </c>
      <c r="AU212" s="184" t="str">
        <f t="shared" si="415"/>
        <v/>
      </c>
      <c r="AV212" s="184">
        <f t="shared" si="416"/>
        <v>1</v>
      </c>
      <c r="AW212" s="184" t="str">
        <f t="shared" si="417"/>
        <v/>
      </c>
      <c r="AX212" s="184" t="str">
        <f t="shared" si="418"/>
        <v/>
      </c>
      <c r="AY212" s="184" t="str">
        <f t="shared" si="419"/>
        <v/>
      </c>
      <c r="AZ212" s="184">
        <f t="shared" si="420"/>
        <v>1</v>
      </c>
      <c r="BA212" s="184" t="str">
        <f t="shared" si="421"/>
        <v/>
      </c>
      <c r="BB212" s="184" t="str">
        <f t="shared" si="422"/>
        <v/>
      </c>
      <c r="BC212" s="184" t="str">
        <f t="shared" si="423"/>
        <v/>
      </c>
      <c r="BD212" s="184" t="str">
        <f t="shared" si="424"/>
        <v/>
      </c>
      <c r="BE212" s="184" t="str">
        <f t="shared" si="425"/>
        <v/>
      </c>
      <c r="BF212" s="184" t="str">
        <f t="shared" si="426"/>
        <v/>
      </c>
      <c r="BG212" s="184">
        <f t="shared" si="427"/>
        <v>1</v>
      </c>
      <c r="BH212" s="184" t="str">
        <f t="shared" si="428"/>
        <v/>
      </c>
      <c r="BI212" s="184" t="str">
        <f t="shared" si="429"/>
        <v/>
      </c>
      <c r="BJ212" s="184" t="str">
        <f t="shared" si="430"/>
        <v/>
      </c>
      <c r="BK212" s="184" t="str">
        <f t="shared" si="431"/>
        <v/>
      </c>
      <c r="BL212" s="184" t="str">
        <f t="shared" si="432"/>
        <v/>
      </c>
      <c r="BM212" s="184" t="str">
        <f t="shared" si="433"/>
        <v/>
      </c>
      <c r="BN212" s="184" t="str">
        <f t="shared" si="434"/>
        <v/>
      </c>
      <c r="BO212" s="184" t="str">
        <f t="shared" si="435"/>
        <v/>
      </c>
      <c r="BP212" s="184" t="str">
        <f t="shared" si="436"/>
        <v/>
      </c>
      <c r="BQ212" s="184" t="str">
        <f t="shared" si="437"/>
        <v/>
      </c>
      <c r="BR212" s="184" t="str">
        <f t="shared" si="520"/>
        <v/>
      </c>
      <c r="BS212" s="184" t="str">
        <f t="shared" si="520"/>
        <v/>
      </c>
      <c r="BT212" s="184" t="str">
        <f t="shared" si="520"/>
        <v/>
      </c>
      <c r="BU212" s="184" t="str">
        <f t="shared" si="439"/>
        <v/>
      </c>
      <c r="BV212" s="184">
        <f t="shared" si="440"/>
        <v>1</v>
      </c>
      <c r="BW212" s="184" t="str">
        <f t="shared" si="441"/>
        <v/>
      </c>
      <c r="BX212" s="184" t="str">
        <f t="shared" si="442"/>
        <v/>
      </c>
      <c r="BY212" s="184" t="str">
        <f t="shared" si="443"/>
        <v/>
      </c>
      <c r="BZ212" s="184" t="str">
        <f t="shared" si="444"/>
        <v/>
      </c>
      <c r="CA212" s="184" t="str">
        <f t="shared" si="445"/>
        <v/>
      </c>
      <c r="CB212" s="184" t="str">
        <f t="shared" si="446"/>
        <v/>
      </c>
      <c r="CC212" s="184" t="str">
        <f t="shared" si="447"/>
        <v/>
      </c>
      <c r="CD212" s="184" t="str">
        <f t="shared" si="448"/>
        <v/>
      </c>
      <c r="CE212" s="184" t="str">
        <f t="shared" si="449"/>
        <v/>
      </c>
      <c r="CF212" s="184" t="str">
        <f t="shared" si="450"/>
        <v/>
      </c>
      <c r="CG212" s="184" t="str">
        <f t="shared" si="451"/>
        <v/>
      </c>
      <c r="CH212" s="184" t="str">
        <f t="shared" si="452"/>
        <v/>
      </c>
      <c r="CI212" s="184" t="str">
        <f t="shared" si="453"/>
        <v/>
      </c>
      <c r="CJ212" s="184" t="str">
        <f t="shared" si="454"/>
        <v/>
      </c>
      <c r="CK212" s="184"/>
      <c r="CM212" s="184"/>
      <c r="CN212"/>
      <c r="CP212"/>
      <c r="CR212"/>
      <c r="CT212"/>
      <c r="CV212"/>
      <c r="CX212"/>
      <c r="CZ212"/>
      <c r="DB212"/>
      <c r="DD212"/>
      <c r="DF212"/>
      <c r="ED212" s="184"/>
      <c r="EF212" s="184"/>
      <c r="EH212" s="184"/>
      <c r="EJ212" s="184"/>
      <c r="EL212" s="184"/>
      <c r="EN212" s="184"/>
      <c r="EP212" s="184"/>
      <c r="ER212" s="184"/>
      <c r="ET212" s="184"/>
      <c r="EV212" s="184"/>
      <c r="EX212" s="184"/>
      <c r="EZ212" s="184"/>
      <c r="FB212" s="184"/>
    </row>
    <row r="213" spans="1:158">
      <c r="A213" s="184">
        <f t="shared" si="368"/>
        <v>36.5</v>
      </c>
      <c r="B213" s="18">
        <f t="shared" si="405"/>
        <v>9430</v>
      </c>
      <c r="C213" s="18">
        <f t="shared" si="482"/>
        <v>11989.999999999976</v>
      </c>
      <c r="D213" s="18">
        <f t="shared" si="483"/>
        <v>15864.999999999976</v>
      </c>
      <c r="E213" s="18">
        <f t="shared" si="458"/>
        <v>18625.000000000004</v>
      </c>
      <c r="F213" s="18">
        <f t="shared" si="459"/>
        <v>9255</v>
      </c>
      <c r="G213" s="18">
        <f t="shared" si="460"/>
        <v>11745.000000000024</v>
      </c>
      <c r="H213" s="18">
        <f t="shared" si="461"/>
        <v>15900</v>
      </c>
      <c r="I213" s="18">
        <f t="shared" si="462"/>
        <v>9394.9999999999964</v>
      </c>
      <c r="J213" s="18">
        <f t="shared" si="463"/>
        <v>12440.000000000024</v>
      </c>
      <c r="K213" s="18">
        <f t="shared" si="464"/>
        <v>15654.999999999976</v>
      </c>
      <c r="L213" s="18">
        <f t="shared" si="465"/>
        <v>18730.000000000007</v>
      </c>
      <c r="M213" s="18">
        <f t="shared" si="466"/>
        <v>23539.999999999956</v>
      </c>
      <c r="N213" s="18">
        <f t="shared" si="467"/>
        <v>12945</v>
      </c>
      <c r="O213" s="18">
        <f t="shared" si="468"/>
        <v>15964.999999999976</v>
      </c>
      <c r="P213" s="18">
        <f t="shared" si="469"/>
        <v>19325</v>
      </c>
      <c r="Q213" s="18">
        <f t="shared" si="470"/>
        <v>22619.999999999953</v>
      </c>
      <c r="R213" s="18">
        <f t="shared" si="471"/>
        <v>32595</v>
      </c>
      <c r="S213" s="18">
        <f t="shared" si="472"/>
        <v>19724.999999999967</v>
      </c>
      <c r="T213" s="18">
        <f t="shared" si="473"/>
        <v>22602.500000000047</v>
      </c>
      <c r="U213" s="18">
        <f t="shared" si="474"/>
        <v>26057.460000000014</v>
      </c>
      <c r="V213" s="18">
        <f t="shared" si="475"/>
        <v>32295.600000000057</v>
      </c>
      <c r="W213" s="18">
        <f t="shared" si="476"/>
        <v>40548.920000000107</v>
      </c>
      <c r="X213" s="18">
        <f t="shared" si="477"/>
        <v>46458.899999999943</v>
      </c>
      <c r="Y213" s="18">
        <f t="shared" si="478"/>
        <v>50150.000000000095</v>
      </c>
      <c r="Z213" s="18">
        <f t="shared" si="478"/>
        <v>39184.000000000051</v>
      </c>
      <c r="AA213" s="18">
        <f t="shared" ref="AA213:AB213" si="563">AA212+(AA$234-AA$174)/60</f>
        <v>47407.999999999905</v>
      </c>
      <c r="AB213" s="18">
        <f t="shared" si="563"/>
        <v>59994</v>
      </c>
      <c r="AC213" s="18">
        <f t="shared" si="477"/>
        <v>12845</v>
      </c>
      <c r="AD213" s="18">
        <f t="shared" ref="AD213:AR213" si="564">AD212+(AD$234-AD$174)/60</f>
        <v>15969.999999999976</v>
      </c>
      <c r="AE213" s="18">
        <f t="shared" si="564"/>
        <v>18409.999999999993</v>
      </c>
      <c r="AF213" s="18">
        <f t="shared" si="564"/>
        <v>21900</v>
      </c>
      <c r="AG213" s="18">
        <f t="shared" si="564"/>
        <v>26605.000000000047</v>
      </c>
      <c r="AH213" s="18">
        <f t="shared" ref="AH213:AK213" si="565">AH212+(AH$234-AH$174)/60</f>
        <v>17040.000000000011</v>
      </c>
      <c r="AI213" s="18">
        <f t="shared" si="565"/>
        <v>19999.999999999975</v>
      </c>
      <c r="AJ213" s="18">
        <f t="shared" si="565"/>
        <v>23425</v>
      </c>
      <c r="AK213" s="18">
        <f t="shared" si="565"/>
        <v>26900</v>
      </c>
      <c r="AL213" s="18">
        <f t="shared" si="564"/>
        <v>22000</v>
      </c>
      <c r="AM213" s="18">
        <f t="shared" si="564"/>
        <v>25000</v>
      </c>
      <c r="AN213" s="18">
        <f t="shared" si="564"/>
        <v>28600</v>
      </c>
      <c r="AO213" s="18">
        <f t="shared" si="564"/>
        <v>45000</v>
      </c>
      <c r="AP213" s="18">
        <f t="shared" si="564"/>
        <v>48000</v>
      </c>
      <c r="AQ213" s="18">
        <f t="shared" si="564"/>
        <v>54000</v>
      </c>
      <c r="AR213" s="18">
        <f t="shared" si="564"/>
        <v>147200</v>
      </c>
      <c r="AS213" s="18">
        <f t="shared" ref="AS213:AS244" si="566">IF(($D$49-A213)&lt;5,0,IF(($D$49-A213)&gt;=($D$49-$C$49),1,MAX(0,MIN(1,(($D$49-8)-A213)/($D$49-($C$49-5))))))*heat_load</f>
        <v>15326.08695652174</v>
      </c>
      <c r="AT213" s="184" t="str">
        <f t="shared" si="414"/>
        <v/>
      </c>
      <c r="AU213" s="184" t="str">
        <f t="shared" si="415"/>
        <v/>
      </c>
      <c r="AV213" s="184" t="str">
        <f t="shared" si="416"/>
        <v/>
      </c>
      <c r="AW213" s="184" t="str">
        <f t="shared" si="417"/>
        <v/>
      </c>
      <c r="AX213" s="184" t="str">
        <f t="shared" si="418"/>
        <v/>
      </c>
      <c r="AY213" s="184" t="str">
        <f t="shared" si="419"/>
        <v/>
      </c>
      <c r="AZ213" s="184" t="str">
        <f t="shared" si="420"/>
        <v/>
      </c>
      <c r="BA213" s="184" t="str">
        <f t="shared" si="421"/>
        <v/>
      </c>
      <c r="BB213" s="184" t="str">
        <f t="shared" si="422"/>
        <v/>
      </c>
      <c r="BC213" s="184">
        <f t="shared" si="423"/>
        <v>1</v>
      </c>
      <c r="BD213" s="184" t="str">
        <f t="shared" si="424"/>
        <v/>
      </c>
      <c r="BE213" s="184" t="str">
        <f t="shared" si="425"/>
        <v/>
      </c>
      <c r="BF213" s="184" t="str">
        <f t="shared" si="426"/>
        <v/>
      </c>
      <c r="BG213" s="184" t="str">
        <f t="shared" si="427"/>
        <v/>
      </c>
      <c r="BH213" s="184" t="str">
        <f t="shared" si="428"/>
        <v/>
      </c>
      <c r="BI213" s="184" t="str">
        <f t="shared" si="429"/>
        <v/>
      </c>
      <c r="BJ213" s="184" t="str">
        <f t="shared" si="430"/>
        <v/>
      </c>
      <c r="BK213" s="184" t="str">
        <f t="shared" si="431"/>
        <v/>
      </c>
      <c r="BL213" s="184" t="str">
        <f t="shared" si="432"/>
        <v/>
      </c>
      <c r="BM213" s="184" t="str">
        <f t="shared" si="433"/>
        <v/>
      </c>
      <c r="BN213" s="184" t="str">
        <f t="shared" si="434"/>
        <v/>
      </c>
      <c r="BO213" s="184" t="str">
        <f t="shared" si="435"/>
        <v/>
      </c>
      <c r="BP213" s="184" t="str">
        <f t="shared" si="436"/>
        <v/>
      </c>
      <c r="BQ213" s="184" t="str">
        <f t="shared" si="437"/>
        <v/>
      </c>
      <c r="BR213" s="184" t="str">
        <f t="shared" si="520"/>
        <v/>
      </c>
      <c r="BS213" s="184" t="str">
        <f t="shared" si="520"/>
        <v/>
      </c>
      <c r="BT213" s="184" t="str">
        <f t="shared" si="520"/>
        <v/>
      </c>
      <c r="BU213" s="184" t="str">
        <f t="shared" si="439"/>
        <v/>
      </c>
      <c r="BV213" s="184" t="str">
        <f t="shared" si="440"/>
        <v/>
      </c>
      <c r="BW213" s="184" t="str">
        <f t="shared" si="441"/>
        <v/>
      </c>
      <c r="BX213" s="184" t="str">
        <f t="shared" si="442"/>
        <v/>
      </c>
      <c r="BY213" s="184" t="str">
        <f t="shared" si="443"/>
        <v/>
      </c>
      <c r="BZ213" s="184" t="str">
        <f t="shared" si="444"/>
        <v/>
      </c>
      <c r="CA213" s="184" t="str">
        <f t="shared" si="445"/>
        <v/>
      </c>
      <c r="CB213" s="184" t="str">
        <f t="shared" si="446"/>
        <v/>
      </c>
      <c r="CC213" s="184" t="str">
        <f t="shared" si="447"/>
        <v/>
      </c>
      <c r="CD213" s="184" t="str">
        <f t="shared" si="448"/>
        <v/>
      </c>
      <c r="CE213" s="184" t="str">
        <f t="shared" si="449"/>
        <v/>
      </c>
      <c r="CF213" s="184" t="str">
        <f t="shared" si="450"/>
        <v/>
      </c>
      <c r="CG213" s="184" t="str">
        <f t="shared" si="451"/>
        <v/>
      </c>
      <c r="CH213" s="184" t="str">
        <f t="shared" si="452"/>
        <v/>
      </c>
      <c r="CI213" s="184" t="str">
        <f t="shared" si="453"/>
        <v/>
      </c>
      <c r="CJ213" s="184" t="str">
        <f t="shared" si="454"/>
        <v/>
      </c>
      <c r="CK213" s="184"/>
      <c r="CM213" s="184"/>
      <c r="CN213"/>
      <c r="CP213"/>
      <c r="CR213"/>
      <c r="CT213"/>
      <c r="CV213"/>
      <c r="CX213"/>
      <c r="CZ213"/>
      <c r="DB213"/>
      <c r="DD213"/>
      <c r="DF213"/>
      <c r="ED213" s="184"/>
      <c r="EF213" s="184"/>
      <c r="EH213" s="184"/>
      <c r="EJ213" s="184"/>
      <c r="EL213" s="184"/>
      <c r="EN213" s="184"/>
      <c r="EP213" s="184"/>
      <c r="ER213" s="184"/>
      <c r="ET213" s="184"/>
      <c r="EV213" s="184"/>
      <c r="EX213" s="184"/>
      <c r="EZ213" s="184"/>
      <c r="FB213" s="184"/>
    </row>
    <row r="214" spans="1:158">
      <c r="A214" s="184">
        <f t="shared" si="368"/>
        <v>37</v>
      </c>
      <c r="B214" s="18">
        <f t="shared" si="405"/>
        <v>9500</v>
      </c>
      <c r="C214" s="18">
        <f t="shared" si="482"/>
        <v>12066.666666666642</v>
      </c>
      <c r="D214" s="18">
        <f t="shared" si="483"/>
        <v>15966.666666666642</v>
      </c>
      <c r="E214" s="18">
        <f t="shared" si="458"/>
        <v>18766.666666666672</v>
      </c>
      <c r="F214" s="18">
        <f t="shared" si="459"/>
        <v>9333.3333333333339</v>
      </c>
      <c r="G214" s="18">
        <f t="shared" si="460"/>
        <v>11833.333333333358</v>
      </c>
      <c r="H214" s="18">
        <f t="shared" si="461"/>
        <v>16000</v>
      </c>
      <c r="I214" s="18">
        <f t="shared" si="462"/>
        <v>9466.6666666666624</v>
      </c>
      <c r="J214" s="18">
        <f t="shared" si="463"/>
        <v>12533.333333333358</v>
      </c>
      <c r="K214" s="18">
        <f t="shared" si="464"/>
        <v>15766.666666666642</v>
      </c>
      <c r="L214" s="18">
        <f t="shared" si="465"/>
        <v>18866.666666666675</v>
      </c>
      <c r="M214" s="18">
        <f t="shared" si="466"/>
        <v>23733.333333333288</v>
      </c>
      <c r="N214" s="18">
        <f t="shared" si="467"/>
        <v>13000</v>
      </c>
      <c r="O214" s="18">
        <f t="shared" si="468"/>
        <v>16066.666666666642</v>
      </c>
      <c r="P214" s="18">
        <f t="shared" si="469"/>
        <v>19400</v>
      </c>
      <c r="Q214" s="18">
        <f t="shared" si="470"/>
        <v>22733.333333333285</v>
      </c>
      <c r="R214" s="18">
        <f t="shared" si="471"/>
        <v>32800</v>
      </c>
      <c r="S214" s="18">
        <f t="shared" si="472"/>
        <v>19833.333333333299</v>
      </c>
      <c r="T214" s="18">
        <f t="shared" si="473"/>
        <v>22716.666666666715</v>
      </c>
      <c r="U214" s="18">
        <f t="shared" si="474"/>
        <v>26178.533333333347</v>
      </c>
      <c r="V214" s="18">
        <f t="shared" si="475"/>
        <v>32472.000000000058</v>
      </c>
      <c r="W214" s="18">
        <f t="shared" si="476"/>
        <v>40770.400000000111</v>
      </c>
      <c r="X214" s="18">
        <f t="shared" si="477"/>
        <v>46817.999999999942</v>
      </c>
      <c r="Y214" s="18">
        <f t="shared" si="478"/>
        <v>50333.33333333343</v>
      </c>
      <c r="Z214" s="18">
        <f t="shared" si="478"/>
        <v>39413.333333333387</v>
      </c>
      <c r="AA214" s="18">
        <f t="shared" ref="AA214:AB214" si="567">AA213+(AA$234-AA$174)/60</f>
        <v>47626.66666666657</v>
      </c>
      <c r="AB214" s="18">
        <f t="shared" si="567"/>
        <v>60280</v>
      </c>
      <c r="AC214" s="18">
        <f t="shared" si="477"/>
        <v>12900</v>
      </c>
      <c r="AD214" s="18">
        <f t="shared" ref="AD214:AR214" si="568">AD213+(AD$234-AD$174)/60</f>
        <v>16066.666666666642</v>
      </c>
      <c r="AE214" s="18">
        <f t="shared" si="568"/>
        <v>18533.333333333325</v>
      </c>
      <c r="AF214" s="18">
        <f t="shared" si="568"/>
        <v>22000</v>
      </c>
      <c r="AG214" s="18">
        <f t="shared" si="568"/>
        <v>26766.666666666715</v>
      </c>
      <c r="AH214" s="18">
        <f t="shared" ref="AH214:AK214" si="569">AH213+(AH$234-AH$174)/60</f>
        <v>17133.333333333343</v>
      </c>
      <c r="AI214" s="18">
        <f t="shared" si="569"/>
        <v>20133.333333333307</v>
      </c>
      <c r="AJ214" s="18">
        <f t="shared" si="569"/>
        <v>23500</v>
      </c>
      <c r="AK214" s="18">
        <f t="shared" si="569"/>
        <v>27000</v>
      </c>
      <c r="AL214" s="18">
        <f t="shared" si="568"/>
        <v>22000</v>
      </c>
      <c r="AM214" s="18">
        <f t="shared" si="568"/>
        <v>25000</v>
      </c>
      <c r="AN214" s="18">
        <f t="shared" si="568"/>
        <v>28600</v>
      </c>
      <c r="AO214" s="18">
        <f t="shared" si="568"/>
        <v>45000</v>
      </c>
      <c r="AP214" s="18">
        <f t="shared" si="568"/>
        <v>48000</v>
      </c>
      <c r="AQ214" s="18">
        <f t="shared" si="568"/>
        <v>54000</v>
      </c>
      <c r="AR214" s="18">
        <f t="shared" si="568"/>
        <v>147200</v>
      </c>
      <c r="AS214" s="18">
        <f t="shared" si="566"/>
        <v>15000</v>
      </c>
      <c r="AT214" s="184" t="str">
        <f t="shared" ref="AT214:AT245" si="570">IF(AND(B214&gt;=$AS214,B213&lt;$AS213),1,"")</f>
        <v/>
      </c>
      <c r="AU214" s="184" t="str">
        <f t="shared" ref="AU214:AU245" si="571">IF(AND(C214&gt;=$AS214,C213&lt;$AS213),1,"")</f>
        <v/>
      </c>
      <c r="AV214" s="184" t="str">
        <f t="shared" ref="AV214:AV245" si="572">IF(AND(D214&gt;=$AS214,D213&lt;$AS213),1,"")</f>
        <v/>
      </c>
      <c r="AW214" s="184" t="str">
        <f t="shared" ref="AW214:AW245" si="573">IF(AND(E214&gt;=$AS214,E213&lt;$AS213),1,"")</f>
        <v/>
      </c>
      <c r="AX214" s="184" t="str">
        <f t="shared" ref="AX214:AX245" si="574">IF(AND(F214&gt;=$AS214,F213&lt;$AS213),1,"")</f>
        <v/>
      </c>
      <c r="AY214" s="184" t="str">
        <f t="shared" ref="AY214:AY245" si="575">IF(AND(G214&gt;=$AS214,G213&lt;$AS213),1,"")</f>
        <v/>
      </c>
      <c r="AZ214" s="184" t="str">
        <f t="shared" ref="AZ214:AZ245" si="576">IF(AND(H214&gt;=$AS214,H213&lt;$AS213),1,"")</f>
        <v/>
      </c>
      <c r="BA214" s="184" t="str">
        <f t="shared" ref="BA214:BA245" si="577">IF(AND(I214&gt;=$AS214,I213&lt;$AS213),1,"")</f>
        <v/>
      </c>
      <c r="BB214" s="184" t="str">
        <f t="shared" ref="BB214:BB245" si="578">IF(AND(J214&gt;=$AS214,J213&lt;$AS213),1,"")</f>
        <v/>
      </c>
      <c r="BC214" s="184" t="str">
        <f t="shared" ref="BC214:BC245" si="579">IF(AND(K214&gt;=$AS214,K213&lt;$AS213),1,"")</f>
        <v/>
      </c>
      <c r="BD214" s="184" t="str">
        <f t="shared" ref="BD214:BD245" si="580">IF(AND(L214&gt;=$AS214,L213&lt;$AS213),1,"")</f>
        <v/>
      </c>
      <c r="BE214" s="184" t="str">
        <f t="shared" ref="BE214:BE245" si="581">IF(AND(M214&gt;=$AS214,M213&lt;$AS213),1,"")</f>
        <v/>
      </c>
      <c r="BF214" s="184" t="str">
        <f t="shared" ref="BF214:BF245" si="582">IF(AND(N214&gt;=$AS214,N213&lt;$AS213),1,"")</f>
        <v/>
      </c>
      <c r="BG214" s="184" t="str">
        <f t="shared" ref="BG214:BG245" si="583">IF(AND(O214&gt;=$AS214,O213&lt;$AS213),1,"")</f>
        <v/>
      </c>
      <c r="BH214" s="184" t="str">
        <f t="shared" ref="BH214:BH245" si="584">IF(AND(P214&gt;=$AS214,P213&lt;$AS213),1,"")</f>
        <v/>
      </c>
      <c r="BI214" s="184" t="str">
        <f t="shared" ref="BI214:BI245" si="585">IF(AND(Q214&gt;=$AS214,Q213&lt;$AS213),1,"")</f>
        <v/>
      </c>
      <c r="BJ214" s="184" t="str">
        <f t="shared" ref="BJ214:BJ245" si="586">IF(AND(R214&gt;=$AS214,R213&lt;$AS213),1,"")</f>
        <v/>
      </c>
      <c r="BK214" s="184" t="str">
        <f t="shared" ref="BK214:BK245" si="587">IF(AND(S214&gt;=$AS214,S213&lt;$AS213),1,"")</f>
        <v/>
      </c>
      <c r="BL214" s="184" t="str">
        <f t="shared" ref="BL214:BL245" si="588">IF(AND(T214&gt;=$AS214,T213&lt;$AS213),1,"")</f>
        <v/>
      </c>
      <c r="BM214" s="184" t="str">
        <f t="shared" ref="BM214:BM245" si="589">IF(AND(U214&gt;=$AS214,U213&lt;$AS213),1,"")</f>
        <v/>
      </c>
      <c r="BN214" s="184" t="str">
        <f t="shared" ref="BN214:BN245" si="590">IF(AND(V214&gt;=$AS214,V213&lt;$AS213),1,"")</f>
        <v/>
      </c>
      <c r="BO214" s="184" t="str">
        <f t="shared" ref="BO214:BO245" si="591">IF(AND(W214&gt;=$AS214,W213&lt;$AS213),1,"")</f>
        <v/>
      </c>
      <c r="BP214" s="184" t="str">
        <f t="shared" ref="BP214:BP245" si="592">IF(AND(X214&gt;=$AS214,X213&lt;$AS213),1,"")</f>
        <v/>
      </c>
      <c r="BQ214" s="184" t="str">
        <f t="shared" ref="BQ214:BQ245" si="593">IF(AND(Y214&gt;=$AS214,Y213&lt;$AS213),1,"")</f>
        <v/>
      </c>
      <c r="BR214" s="184" t="str">
        <f t="shared" ref="BR214:BT229" si="594">IF(AND(Z214&gt;=$AS214,Z213&lt;$AS213),1,"")</f>
        <v/>
      </c>
      <c r="BS214" s="184" t="str">
        <f t="shared" si="594"/>
        <v/>
      </c>
      <c r="BT214" s="184" t="str">
        <f t="shared" si="594"/>
        <v/>
      </c>
      <c r="BU214" s="184" t="str">
        <f t="shared" ref="BU214:BU245" si="595">IF(AND(AC214&gt;=$AS214,AC213&lt;$AS213),1,"")</f>
        <v/>
      </c>
      <c r="BV214" s="184" t="str">
        <f t="shared" ref="BV214:BV245" si="596">IF(AND(AD214&gt;=$AS214,AD213&lt;$AS213),1,"")</f>
        <v/>
      </c>
      <c r="BW214" s="184" t="str">
        <f t="shared" ref="BW214:BW245" si="597">IF(AND(AE214&gt;=$AS214,AE213&lt;$AS213),1,"")</f>
        <v/>
      </c>
      <c r="BX214" s="184" t="str">
        <f t="shared" ref="BX214:BX245" si="598">IF(AND(AF214&gt;=$AS214,AF213&lt;$AS213),1,"")</f>
        <v/>
      </c>
      <c r="BY214" s="184" t="str">
        <f t="shared" ref="BY214:BY245" si="599">IF(AND(AG214&gt;=$AS214,AG213&lt;$AS213),1,"")</f>
        <v/>
      </c>
      <c r="BZ214" s="184" t="str">
        <f t="shared" ref="BZ214:BZ245" si="600">IF(AND(AH214&gt;=$AS214,AH213&lt;$AS213),1,"")</f>
        <v/>
      </c>
      <c r="CA214" s="184" t="str">
        <f t="shared" ref="CA214:CA245" si="601">IF(AND(AI214&gt;=$AS214,AI213&lt;$AS213),1,"")</f>
        <v/>
      </c>
      <c r="CB214" s="184" t="str">
        <f t="shared" ref="CB214:CB245" si="602">IF(AND(AJ214&gt;=$AS214,AJ213&lt;$AS213),1,"")</f>
        <v/>
      </c>
      <c r="CC214" s="184" t="str">
        <f t="shared" ref="CC214:CC245" si="603">IF(AND(AK214&gt;=$AS214,AK213&lt;$AS213),1,"")</f>
        <v/>
      </c>
      <c r="CD214" s="184" t="str">
        <f t="shared" ref="CD214:CD245" si="604">IF(AND(AL214&gt;=$AS214,AL213&lt;$AS213),1,"")</f>
        <v/>
      </c>
      <c r="CE214" s="184" t="str">
        <f t="shared" ref="CE214:CE245" si="605">IF(AND(AM214&gt;=$AS214,AM213&lt;$AS213),1,"")</f>
        <v/>
      </c>
      <c r="CF214" s="184" t="str">
        <f t="shared" ref="CF214:CF245" si="606">IF(AND(AN214&gt;=$AS214,AN213&lt;$AS213),1,"")</f>
        <v/>
      </c>
      <c r="CG214" s="184" t="str">
        <f t="shared" ref="CG214:CG245" si="607">IF(AND(AO214&gt;=$AS214,AO213&lt;$AS213),1,"")</f>
        <v/>
      </c>
      <c r="CH214" s="184" t="str">
        <f t="shared" ref="CH214:CH245" si="608">IF(AND(AP214&gt;=$AS214,AP213&lt;$AS213),1,"")</f>
        <v/>
      </c>
      <c r="CI214" s="184" t="str">
        <f t="shared" ref="CI214:CI245" si="609">IF(AND(AQ214&gt;=$AS214,AQ213&lt;$AS213),1,"")</f>
        <v/>
      </c>
      <c r="CJ214" s="184" t="str">
        <f t="shared" ref="CJ214:CJ245" si="610">IF(AND(AR214&gt;=$AS214,AR213&lt;$AS213),1,"")</f>
        <v/>
      </c>
      <c r="CK214" s="184"/>
      <c r="CM214" s="184"/>
      <c r="CN214"/>
      <c r="CP214"/>
      <c r="CR214"/>
      <c r="CT214"/>
      <c r="CV214"/>
      <c r="CX214"/>
      <c r="CZ214"/>
      <c r="DB214"/>
      <c r="DD214"/>
      <c r="DF214"/>
      <c r="ED214" s="184"/>
      <c r="EF214" s="184"/>
      <c r="EH214" s="184"/>
      <c r="EJ214" s="184"/>
      <c r="EL214" s="184"/>
      <c r="EN214" s="184"/>
      <c r="EP214" s="184"/>
      <c r="ER214" s="184"/>
      <c r="ET214" s="184"/>
      <c r="EV214" s="184"/>
      <c r="EX214" s="184"/>
      <c r="EZ214" s="184"/>
      <c r="FB214" s="184"/>
    </row>
    <row r="215" spans="1:158">
      <c r="A215" s="184">
        <f t="shared" si="368"/>
        <v>37.5</v>
      </c>
      <c r="B215" s="18">
        <f t="shared" si="405"/>
        <v>9570</v>
      </c>
      <c r="C215" s="18">
        <f t="shared" si="482"/>
        <v>12143.333333333308</v>
      </c>
      <c r="D215" s="18">
        <f t="shared" si="483"/>
        <v>16068.333333333308</v>
      </c>
      <c r="E215" s="18">
        <f t="shared" si="458"/>
        <v>18908.333333333339</v>
      </c>
      <c r="F215" s="18">
        <f t="shared" si="459"/>
        <v>9411.6666666666679</v>
      </c>
      <c r="G215" s="18">
        <f t="shared" si="460"/>
        <v>11921.666666666692</v>
      </c>
      <c r="H215" s="18">
        <f t="shared" si="461"/>
        <v>16100</v>
      </c>
      <c r="I215" s="18">
        <f t="shared" si="462"/>
        <v>9538.3333333333285</v>
      </c>
      <c r="J215" s="18">
        <f t="shared" si="463"/>
        <v>12626.666666666692</v>
      </c>
      <c r="K215" s="18">
        <f t="shared" si="464"/>
        <v>15878.333333333308</v>
      </c>
      <c r="L215" s="18">
        <f t="shared" si="465"/>
        <v>19003.333333333343</v>
      </c>
      <c r="M215" s="18">
        <f t="shared" si="466"/>
        <v>23926.666666666621</v>
      </c>
      <c r="N215" s="18">
        <f t="shared" si="467"/>
        <v>13055</v>
      </c>
      <c r="O215" s="18">
        <f t="shared" si="468"/>
        <v>16168.333333333308</v>
      </c>
      <c r="P215" s="18">
        <f t="shared" si="469"/>
        <v>19475</v>
      </c>
      <c r="Q215" s="18">
        <f t="shared" si="470"/>
        <v>22846.666666666617</v>
      </c>
      <c r="R215" s="18">
        <f t="shared" si="471"/>
        <v>33005</v>
      </c>
      <c r="S215" s="18">
        <f t="shared" si="472"/>
        <v>19941.666666666631</v>
      </c>
      <c r="T215" s="18">
        <f t="shared" si="473"/>
        <v>22830.833333333383</v>
      </c>
      <c r="U215" s="18">
        <f t="shared" si="474"/>
        <v>26299.606666666681</v>
      </c>
      <c r="V215" s="18">
        <f t="shared" si="475"/>
        <v>32648.40000000006</v>
      </c>
      <c r="W215" s="18">
        <f t="shared" si="476"/>
        <v>40991.880000000114</v>
      </c>
      <c r="X215" s="18">
        <f t="shared" si="477"/>
        <v>47177.09999999994</v>
      </c>
      <c r="Y215" s="18">
        <f t="shared" si="478"/>
        <v>50516.666666666766</v>
      </c>
      <c r="Z215" s="18">
        <f t="shared" si="478"/>
        <v>39642.666666666722</v>
      </c>
      <c r="AA215" s="18">
        <f t="shared" ref="AA215:AB215" si="611">AA214+(AA$234-AA$174)/60</f>
        <v>47845.333333333234</v>
      </c>
      <c r="AB215" s="18">
        <f t="shared" si="611"/>
        <v>60566</v>
      </c>
      <c r="AC215" s="18">
        <f t="shared" si="477"/>
        <v>12955</v>
      </c>
      <c r="AD215" s="18">
        <f t="shared" ref="AD215:AR215" si="612">AD214+(AD$234-AD$174)/60</f>
        <v>16163.333333333308</v>
      </c>
      <c r="AE215" s="18">
        <f t="shared" si="612"/>
        <v>18656.666666666657</v>
      </c>
      <c r="AF215" s="18">
        <f t="shared" si="612"/>
        <v>22100</v>
      </c>
      <c r="AG215" s="18">
        <f t="shared" si="612"/>
        <v>26928.333333333383</v>
      </c>
      <c r="AH215" s="18">
        <f t="shared" ref="AH215:AK215" si="613">AH214+(AH$234-AH$174)/60</f>
        <v>17226.666666666675</v>
      </c>
      <c r="AI215" s="18">
        <f t="shared" si="613"/>
        <v>20266.666666666639</v>
      </c>
      <c r="AJ215" s="18">
        <f t="shared" si="613"/>
        <v>23575</v>
      </c>
      <c r="AK215" s="18">
        <f t="shared" si="613"/>
        <v>27100</v>
      </c>
      <c r="AL215" s="18">
        <f t="shared" si="612"/>
        <v>22000</v>
      </c>
      <c r="AM215" s="18">
        <f t="shared" si="612"/>
        <v>25000</v>
      </c>
      <c r="AN215" s="18">
        <f t="shared" si="612"/>
        <v>28600</v>
      </c>
      <c r="AO215" s="18">
        <f t="shared" si="612"/>
        <v>45000</v>
      </c>
      <c r="AP215" s="18">
        <f t="shared" si="612"/>
        <v>48000</v>
      </c>
      <c r="AQ215" s="18">
        <f t="shared" si="612"/>
        <v>54000</v>
      </c>
      <c r="AR215" s="18">
        <f t="shared" si="612"/>
        <v>147200</v>
      </c>
      <c r="AS215" s="18">
        <f t="shared" si="566"/>
        <v>14673.913043478262</v>
      </c>
      <c r="AT215" s="184" t="str">
        <f t="shared" si="570"/>
        <v/>
      </c>
      <c r="AU215" s="184" t="str">
        <f t="shared" si="571"/>
        <v/>
      </c>
      <c r="AV215" s="184" t="str">
        <f t="shared" si="572"/>
        <v/>
      </c>
      <c r="AW215" s="184" t="str">
        <f t="shared" si="573"/>
        <v/>
      </c>
      <c r="AX215" s="184" t="str">
        <f t="shared" si="574"/>
        <v/>
      </c>
      <c r="AY215" s="184" t="str">
        <f t="shared" si="575"/>
        <v/>
      </c>
      <c r="AZ215" s="184" t="str">
        <f t="shared" si="576"/>
        <v/>
      </c>
      <c r="BA215" s="184" t="str">
        <f t="shared" si="577"/>
        <v/>
      </c>
      <c r="BB215" s="184" t="str">
        <f t="shared" si="578"/>
        <v/>
      </c>
      <c r="BC215" s="184" t="str">
        <f t="shared" si="579"/>
        <v/>
      </c>
      <c r="BD215" s="184" t="str">
        <f t="shared" si="580"/>
        <v/>
      </c>
      <c r="BE215" s="184" t="str">
        <f t="shared" si="581"/>
        <v/>
      </c>
      <c r="BF215" s="184" t="str">
        <f t="shared" si="582"/>
        <v/>
      </c>
      <c r="BG215" s="184" t="str">
        <f t="shared" si="583"/>
        <v/>
      </c>
      <c r="BH215" s="184" t="str">
        <f t="shared" si="584"/>
        <v/>
      </c>
      <c r="BI215" s="184" t="str">
        <f t="shared" si="585"/>
        <v/>
      </c>
      <c r="BJ215" s="184" t="str">
        <f t="shared" si="586"/>
        <v/>
      </c>
      <c r="BK215" s="184" t="str">
        <f t="shared" si="587"/>
        <v/>
      </c>
      <c r="BL215" s="184" t="str">
        <f t="shared" si="588"/>
        <v/>
      </c>
      <c r="BM215" s="184" t="str">
        <f t="shared" si="589"/>
        <v/>
      </c>
      <c r="BN215" s="184" t="str">
        <f t="shared" si="590"/>
        <v/>
      </c>
      <c r="BO215" s="184" t="str">
        <f t="shared" si="591"/>
        <v/>
      </c>
      <c r="BP215" s="184" t="str">
        <f t="shared" si="592"/>
        <v/>
      </c>
      <c r="BQ215" s="184" t="str">
        <f t="shared" si="593"/>
        <v/>
      </c>
      <c r="BR215" s="184" t="str">
        <f t="shared" si="594"/>
        <v/>
      </c>
      <c r="BS215" s="184" t="str">
        <f t="shared" si="594"/>
        <v/>
      </c>
      <c r="BT215" s="184" t="str">
        <f t="shared" si="594"/>
        <v/>
      </c>
      <c r="BU215" s="184" t="str">
        <f t="shared" si="595"/>
        <v/>
      </c>
      <c r="BV215" s="184" t="str">
        <f t="shared" si="596"/>
        <v/>
      </c>
      <c r="BW215" s="184" t="str">
        <f t="shared" si="597"/>
        <v/>
      </c>
      <c r="BX215" s="184" t="str">
        <f t="shared" si="598"/>
        <v/>
      </c>
      <c r="BY215" s="184" t="str">
        <f t="shared" si="599"/>
        <v/>
      </c>
      <c r="BZ215" s="184" t="str">
        <f t="shared" si="600"/>
        <v/>
      </c>
      <c r="CA215" s="184" t="str">
        <f t="shared" si="601"/>
        <v/>
      </c>
      <c r="CB215" s="184" t="str">
        <f t="shared" si="602"/>
        <v/>
      </c>
      <c r="CC215" s="184" t="str">
        <f t="shared" si="603"/>
        <v/>
      </c>
      <c r="CD215" s="184" t="str">
        <f t="shared" si="604"/>
        <v/>
      </c>
      <c r="CE215" s="184" t="str">
        <f t="shared" si="605"/>
        <v/>
      </c>
      <c r="CF215" s="184" t="str">
        <f t="shared" si="606"/>
        <v/>
      </c>
      <c r="CG215" s="184" t="str">
        <f t="shared" si="607"/>
        <v/>
      </c>
      <c r="CH215" s="184" t="str">
        <f t="shared" si="608"/>
        <v/>
      </c>
      <c r="CI215" s="184" t="str">
        <f t="shared" si="609"/>
        <v/>
      </c>
      <c r="CJ215" s="184" t="str">
        <f t="shared" si="610"/>
        <v/>
      </c>
      <c r="CK215" s="184"/>
      <c r="CM215" s="184"/>
      <c r="CN215"/>
      <c r="CP215"/>
      <c r="CR215"/>
      <c r="CT215"/>
      <c r="CV215"/>
      <c r="CX215"/>
      <c r="CZ215"/>
      <c r="DB215"/>
      <c r="DD215"/>
      <c r="DF215"/>
      <c r="ED215" s="184"/>
      <c r="EF215" s="184"/>
      <c r="EH215" s="184"/>
      <c r="EJ215" s="184"/>
      <c r="EL215" s="184"/>
      <c r="EN215" s="184"/>
      <c r="EP215" s="184"/>
      <c r="ER215" s="184"/>
      <c r="ET215" s="184"/>
      <c r="EV215" s="184"/>
      <c r="EX215" s="184"/>
      <c r="EZ215" s="184"/>
      <c r="FB215" s="184"/>
    </row>
    <row r="216" spans="1:158">
      <c r="A216" s="184">
        <f t="shared" si="368"/>
        <v>38</v>
      </c>
      <c r="B216" s="18">
        <f t="shared" si="405"/>
        <v>9640</v>
      </c>
      <c r="C216" s="18">
        <f t="shared" si="482"/>
        <v>12219.999999999975</v>
      </c>
      <c r="D216" s="18">
        <f t="shared" si="483"/>
        <v>16169.999999999975</v>
      </c>
      <c r="E216" s="18">
        <f t="shared" si="458"/>
        <v>19050.000000000007</v>
      </c>
      <c r="F216" s="18">
        <f t="shared" si="459"/>
        <v>9490.0000000000018</v>
      </c>
      <c r="G216" s="18">
        <f t="shared" si="460"/>
        <v>12010.000000000025</v>
      </c>
      <c r="H216" s="18">
        <f t="shared" si="461"/>
        <v>16200</v>
      </c>
      <c r="I216" s="18">
        <f t="shared" si="462"/>
        <v>9609.9999999999945</v>
      </c>
      <c r="J216" s="18">
        <f t="shared" si="463"/>
        <v>12720.000000000025</v>
      </c>
      <c r="K216" s="18">
        <f t="shared" si="464"/>
        <v>15989.999999999975</v>
      </c>
      <c r="L216" s="18">
        <f t="shared" si="465"/>
        <v>19140.000000000011</v>
      </c>
      <c r="M216" s="18">
        <f t="shared" si="466"/>
        <v>24119.999999999953</v>
      </c>
      <c r="N216" s="18">
        <f t="shared" si="467"/>
        <v>13110</v>
      </c>
      <c r="O216" s="18">
        <f t="shared" si="468"/>
        <v>16269.999999999975</v>
      </c>
      <c r="P216" s="18">
        <f t="shared" si="469"/>
        <v>19550</v>
      </c>
      <c r="Q216" s="18">
        <f t="shared" si="470"/>
        <v>22959.999999999949</v>
      </c>
      <c r="R216" s="18">
        <f t="shared" si="471"/>
        <v>33210</v>
      </c>
      <c r="S216" s="18">
        <f t="shared" si="472"/>
        <v>20049.999999999964</v>
      </c>
      <c r="T216" s="18">
        <f t="shared" si="473"/>
        <v>22945.000000000051</v>
      </c>
      <c r="U216" s="18">
        <f t="shared" si="474"/>
        <v>26420.680000000015</v>
      </c>
      <c r="V216" s="18">
        <f t="shared" si="475"/>
        <v>32824.800000000061</v>
      </c>
      <c r="W216" s="18">
        <f t="shared" si="476"/>
        <v>41213.360000000117</v>
      </c>
      <c r="X216" s="18">
        <f t="shared" si="477"/>
        <v>47536.199999999939</v>
      </c>
      <c r="Y216" s="18">
        <f t="shared" si="478"/>
        <v>50700.000000000102</v>
      </c>
      <c r="Z216" s="18">
        <f t="shared" si="478"/>
        <v>39872.000000000058</v>
      </c>
      <c r="AA216" s="18">
        <f t="shared" ref="AA216:AB216" si="614">AA215+(AA$234-AA$174)/60</f>
        <v>48063.999999999898</v>
      </c>
      <c r="AB216" s="18">
        <f t="shared" si="614"/>
        <v>60852</v>
      </c>
      <c r="AC216" s="18">
        <f t="shared" si="477"/>
        <v>13010</v>
      </c>
      <c r="AD216" s="18">
        <f t="shared" ref="AD216:AR216" si="615">AD215+(AD$234-AD$174)/60</f>
        <v>16259.999999999975</v>
      </c>
      <c r="AE216" s="18">
        <f t="shared" si="615"/>
        <v>18779.999999999989</v>
      </c>
      <c r="AF216" s="18">
        <f t="shared" si="615"/>
        <v>22200</v>
      </c>
      <c r="AG216" s="18">
        <f t="shared" si="615"/>
        <v>27090.000000000051</v>
      </c>
      <c r="AH216" s="18">
        <f t="shared" ref="AH216:AK216" si="616">AH215+(AH$234-AH$174)/60</f>
        <v>17320.000000000007</v>
      </c>
      <c r="AI216" s="18">
        <f t="shared" si="616"/>
        <v>20399.999999999971</v>
      </c>
      <c r="AJ216" s="18">
        <f t="shared" si="616"/>
        <v>23650</v>
      </c>
      <c r="AK216" s="18">
        <f t="shared" si="616"/>
        <v>27200</v>
      </c>
      <c r="AL216" s="18">
        <f t="shared" si="615"/>
        <v>22000</v>
      </c>
      <c r="AM216" s="18">
        <f t="shared" si="615"/>
        <v>25000</v>
      </c>
      <c r="AN216" s="18">
        <f t="shared" si="615"/>
        <v>28600</v>
      </c>
      <c r="AO216" s="18">
        <f t="shared" si="615"/>
        <v>45000</v>
      </c>
      <c r="AP216" s="18">
        <f t="shared" si="615"/>
        <v>48000</v>
      </c>
      <c r="AQ216" s="18">
        <f t="shared" si="615"/>
        <v>54000</v>
      </c>
      <c r="AR216" s="18">
        <f t="shared" si="615"/>
        <v>147200</v>
      </c>
      <c r="AS216" s="18">
        <f t="shared" si="566"/>
        <v>14347.82608695652</v>
      </c>
      <c r="AT216" s="184" t="str">
        <f t="shared" si="570"/>
        <v/>
      </c>
      <c r="AU216" s="184" t="str">
        <f t="shared" si="571"/>
        <v/>
      </c>
      <c r="AV216" s="184" t="str">
        <f t="shared" si="572"/>
        <v/>
      </c>
      <c r="AW216" s="184" t="str">
        <f t="shared" si="573"/>
        <v/>
      </c>
      <c r="AX216" s="184" t="str">
        <f t="shared" si="574"/>
        <v/>
      </c>
      <c r="AY216" s="184" t="str">
        <f t="shared" si="575"/>
        <v/>
      </c>
      <c r="AZ216" s="184" t="str">
        <f t="shared" si="576"/>
        <v/>
      </c>
      <c r="BA216" s="184" t="str">
        <f t="shared" si="577"/>
        <v/>
      </c>
      <c r="BB216" s="184" t="str">
        <f t="shared" si="578"/>
        <v/>
      </c>
      <c r="BC216" s="184" t="str">
        <f t="shared" si="579"/>
        <v/>
      </c>
      <c r="BD216" s="184" t="str">
        <f t="shared" si="580"/>
        <v/>
      </c>
      <c r="BE216" s="184" t="str">
        <f t="shared" si="581"/>
        <v/>
      </c>
      <c r="BF216" s="184" t="str">
        <f t="shared" si="582"/>
        <v/>
      </c>
      <c r="BG216" s="184" t="str">
        <f t="shared" si="583"/>
        <v/>
      </c>
      <c r="BH216" s="184" t="str">
        <f t="shared" si="584"/>
        <v/>
      </c>
      <c r="BI216" s="184" t="str">
        <f t="shared" si="585"/>
        <v/>
      </c>
      <c r="BJ216" s="184" t="str">
        <f t="shared" si="586"/>
        <v/>
      </c>
      <c r="BK216" s="184" t="str">
        <f t="shared" si="587"/>
        <v/>
      </c>
      <c r="BL216" s="184" t="str">
        <f t="shared" si="588"/>
        <v/>
      </c>
      <c r="BM216" s="184" t="str">
        <f t="shared" si="589"/>
        <v/>
      </c>
      <c r="BN216" s="184" t="str">
        <f t="shared" si="590"/>
        <v/>
      </c>
      <c r="BO216" s="184" t="str">
        <f t="shared" si="591"/>
        <v/>
      </c>
      <c r="BP216" s="184" t="str">
        <f t="shared" si="592"/>
        <v/>
      </c>
      <c r="BQ216" s="184" t="str">
        <f t="shared" si="593"/>
        <v/>
      </c>
      <c r="BR216" s="184" t="str">
        <f t="shared" si="594"/>
        <v/>
      </c>
      <c r="BS216" s="184" t="str">
        <f t="shared" si="594"/>
        <v/>
      </c>
      <c r="BT216" s="184" t="str">
        <f t="shared" si="594"/>
        <v/>
      </c>
      <c r="BU216" s="184" t="str">
        <f t="shared" si="595"/>
        <v/>
      </c>
      <c r="BV216" s="184" t="str">
        <f t="shared" si="596"/>
        <v/>
      </c>
      <c r="BW216" s="184" t="str">
        <f t="shared" si="597"/>
        <v/>
      </c>
      <c r="BX216" s="184" t="str">
        <f t="shared" si="598"/>
        <v/>
      </c>
      <c r="BY216" s="184" t="str">
        <f t="shared" si="599"/>
        <v/>
      </c>
      <c r="BZ216" s="184" t="str">
        <f t="shared" si="600"/>
        <v/>
      </c>
      <c r="CA216" s="184" t="str">
        <f t="shared" si="601"/>
        <v/>
      </c>
      <c r="CB216" s="184" t="str">
        <f t="shared" si="602"/>
        <v/>
      </c>
      <c r="CC216" s="184" t="str">
        <f t="shared" si="603"/>
        <v/>
      </c>
      <c r="CD216" s="184" t="str">
        <f t="shared" si="604"/>
        <v/>
      </c>
      <c r="CE216" s="184" t="str">
        <f t="shared" si="605"/>
        <v/>
      </c>
      <c r="CF216" s="184" t="str">
        <f t="shared" si="606"/>
        <v/>
      </c>
      <c r="CG216" s="184" t="str">
        <f t="shared" si="607"/>
        <v/>
      </c>
      <c r="CH216" s="184" t="str">
        <f t="shared" si="608"/>
        <v/>
      </c>
      <c r="CI216" s="184" t="str">
        <f t="shared" si="609"/>
        <v/>
      </c>
      <c r="CJ216" s="184" t="str">
        <f t="shared" si="610"/>
        <v/>
      </c>
      <c r="CK216" s="184"/>
      <c r="CM216" s="184"/>
      <c r="CN216"/>
      <c r="CP216"/>
      <c r="CR216"/>
      <c r="CT216"/>
      <c r="CV216"/>
      <c r="CX216"/>
      <c r="CZ216"/>
      <c r="DB216"/>
      <c r="DD216"/>
      <c r="DF216"/>
      <c r="ED216" s="184"/>
      <c r="EF216" s="184"/>
      <c r="EH216" s="184"/>
      <c r="EJ216" s="184"/>
      <c r="EL216" s="184"/>
      <c r="EN216" s="184"/>
      <c r="EP216" s="184"/>
      <c r="ER216" s="184"/>
      <c r="ET216" s="184"/>
      <c r="EV216" s="184"/>
      <c r="EX216" s="184"/>
      <c r="EZ216" s="184"/>
      <c r="FB216" s="184"/>
    </row>
    <row r="217" spans="1:158">
      <c r="A217" s="184">
        <f t="shared" si="368"/>
        <v>38.5</v>
      </c>
      <c r="B217" s="18">
        <f t="shared" si="405"/>
        <v>9710</v>
      </c>
      <c r="C217" s="18">
        <f t="shared" si="482"/>
        <v>12296.666666666641</v>
      </c>
      <c r="D217" s="18">
        <f t="shared" si="483"/>
        <v>16271.666666666641</v>
      </c>
      <c r="E217" s="18">
        <f t="shared" si="458"/>
        <v>19191.666666666675</v>
      </c>
      <c r="F217" s="18">
        <f t="shared" si="459"/>
        <v>9568.3333333333358</v>
      </c>
      <c r="G217" s="18">
        <f t="shared" si="460"/>
        <v>12098.333333333359</v>
      </c>
      <c r="H217" s="18">
        <f t="shared" si="461"/>
        <v>16300</v>
      </c>
      <c r="I217" s="18">
        <f t="shared" si="462"/>
        <v>9681.6666666666606</v>
      </c>
      <c r="J217" s="18">
        <f t="shared" si="463"/>
        <v>12813.333333333359</v>
      </c>
      <c r="K217" s="18">
        <f t="shared" si="464"/>
        <v>16101.666666666641</v>
      </c>
      <c r="L217" s="18">
        <f t="shared" si="465"/>
        <v>19276.666666666679</v>
      </c>
      <c r="M217" s="18">
        <f t="shared" si="466"/>
        <v>24313.333333333285</v>
      </c>
      <c r="N217" s="18">
        <f t="shared" si="467"/>
        <v>13165</v>
      </c>
      <c r="O217" s="18">
        <f t="shared" si="468"/>
        <v>16371.666666666641</v>
      </c>
      <c r="P217" s="18">
        <f t="shared" si="469"/>
        <v>19625</v>
      </c>
      <c r="Q217" s="18">
        <f t="shared" si="470"/>
        <v>23073.333333333281</v>
      </c>
      <c r="R217" s="18">
        <f t="shared" si="471"/>
        <v>33415</v>
      </c>
      <c r="S217" s="18">
        <f t="shared" si="472"/>
        <v>20158.333333333296</v>
      </c>
      <c r="T217" s="18">
        <f t="shared" si="473"/>
        <v>23059.166666666719</v>
      </c>
      <c r="U217" s="18">
        <f t="shared" si="474"/>
        <v>26541.753333333349</v>
      </c>
      <c r="V217" s="18">
        <f t="shared" si="475"/>
        <v>33001.200000000063</v>
      </c>
      <c r="W217" s="18">
        <f t="shared" si="476"/>
        <v>41434.84000000012</v>
      </c>
      <c r="X217" s="18">
        <f t="shared" si="477"/>
        <v>47895.299999999937</v>
      </c>
      <c r="Y217" s="18">
        <f t="shared" si="478"/>
        <v>50883.333333333438</v>
      </c>
      <c r="Z217" s="18">
        <f t="shared" si="478"/>
        <v>40101.333333333394</v>
      </c>
      <c r="AA217" s="18">
        <f t="shared" ref="AA217:AB217" si="617">AA216+(AA$234-AA$174)/60</f>
        <v>48282.666666666562</v>
      </c>
      <c r="AB217" s="18">
        <f t="shared" si="617"/>
        <v>61138</v>
      </c>
      <c r="AC217" s="18">
        <f t="shared" si="477"/>
        <v>13065</v>
      </c>
      <c r="AD217" s="18">
        <f t="shared" ref="AD217:AR217" si="618">AD216+(AD$234-AD$174)/60</f>
        <v>16356.666666666641</v>
      </c>
      <c r="AE217" s="18">
        <f t="shared" si="618"/>
        <v>18903.333333333321</v>
      </c>
      <c r="AF217" s="18">
        <f t="shared" si="618"/>
        <v>22300</v>
      </c>
      <c r="AG217" s="18">
        <f t="shared" si="618"/>
        <v>27251.666666666719</v>
      </c>
      <c r="AH217" s="18">
        <f t="shared" ref="AH217:AK217" si="619">AH216+(AH$234-AH$174)/60</f>
        <v>17413.333333333339</v>
      </c>
      <c r="AI217" s="18">
        <f t="shared" si="619"/>
        <v>20533.333333333303</v>
      </c>
      <c r="AJ217" s="18">
        <f t="shared" si="619"/>
        <v>23725</v>
      </c>
      <c r="AK217" s="18">
        <f t="shared" si="619"/>
        <v>27300</v>
      </c>
      <c r="AL217" s="18">
        <f t="shared" si="618"/>
        <v>22000</v>
      </c>
      <c r="AM217" s="18">
        <f t="shared" si="618"/>
        <v>25000</v>
      </c>
      <c r="AN217" s="18">
        <f t="shared" si="618"/>
        <v>28600</v>
      </c>
      <c r="AO217" s="18">
        <f t="shared" si="618"/>
        <v>45000</v>
      </c>
      <c r="AP217" s="18">
        <f t="shared" si="618"/>
        <v>48000</v>
      </c>
      <c r="AQ217" s="18">
        <f t="shared" si="618"/>
        <v>54000</v>
      </c>
      <c r="AR217" s="18">
        <f t="shared" si="618"/>
        <v>147200</v>
      </c>
      <c r="AS217" s="18">
        <f t="shared" si="566"/>
        <v>14021.739130434782</v>
      </c>
      <c r="AT217" s="184" t="str">
        <f t="shared" si="570"/>
        <v/>
      </c>
      <c r="AU217" s="184" t="str">
        <f t="shared" si="571"/>
        <v/>
      </c>
      <c r="AV217" s="184" t="str">
        <f t="shared" si="572"/>
        <v/>
      </c>
      <c r="AW217" s="184" t="str">
        <f t="shared" si="573"/>
        <v/>
      </c>
      <c r="AX217" s="184" t="str">
        <f t="shared" si="574"/>
        <v/>
      </c>
      <c r="AY217" s="184" t="str">
        <f t="shared" si="575"/>
        <v/>
      </c>
      <c r="AZ217" s="184" t="str">
        <f t="shared" si="576"/>
        <v/>
      </c>
      <c r="BA217" s="184" t="str">
        <f t="shared" si="577"/>
        <v/>
      </c>
      <c r="BB217" s="184" t="str">
        <f t="shared" si="578"/>
        <v/>
      </c>
      <c r="BC217" s="184" t="str">
        <f t="shared" si="579"/>
        <v/>
      </c>
      <c r="BD217" s="184" t="str">
        <f t="shared" si="580"/>
        <v/>
      </c>
      <c r="BE217" s="184" t="str">
        <f t="shared" si="581"/>
        <v/>
      </c>
      <c r="BF217" s="184" t="str">
        <f t="shared" si="582"/>
        <v/>
      </c>
      <c r="BG217" s="184" t="str">
        <f t="shared" si="583"/>
        <v/>
      </c>
      <c r="BH217" s="184" t="str">
        <f t="shared" si="584"/>
        <v/>
      </c>
      <c r="BI217" s="184" t="str">
        <f t="shared" si="585"/>
        <v/>
      </c>
      <c r="BJ217" s="184" t="str">
        <f t="shared" si="586"/>
        <v/>
      </c>
      <c r="BK217" s="184" t="str">
        <f t="shared" si="587"/>
        <v/>
      </c>
      <c r="BL217" s="184" t="str">
        <f t="shared" si="588"/>
        <v/>
      </c>
      <c r="BM217" s="184" t="str">
        <f t="shared" si="589"/>
        <v/>
      </c>
      <c r="BN217" s="184" t="str">
        <f t="shared" si="590"/>
        <v/>
      </c>
      <c r="BO217" s="184" t="str">
        <f t="shared" si="591"/>
        <v/>
      </c>
      <c r="BP217" s="184" t="str">
        <f t="shared" si="592"/>
        <v/>
      </c>
      <c r="BQ217" s="184" t="str">
        <f t="shared" si="593"/>
        <v/>
      </c>
      <c r="BR217" s="184" t="str">
        <f t="shared" si="594"/>
        <v/>
      </c>
      <c r="BS217" s="184" t="str">
        <f t="shared" si="594"/>
        <v/>
      </c>
      <c r="BT217" s="184" t="str">
        <f t="shared" si="594"/>
        <v/>
      </c>
      <c r="BU217" s="184" t="str">
        <f t="shared" si="595"/>
        <v/>
      </c>
      <c r="BV217" s="184" t="str">
        <f t="shared" si="596"/>
        <v/>
      </c>
      <c r="BW217" s="184" t="str">
        <f t="shared" si="597"/>
        <v/>
      </c>
      <c r="BX217" s="184" t="str">
        <f t="shared" si="598"/>
        <v/>
      </c>
      <c r="BY217" s="184" t="str">
        <f t="shared" si="599"/>
        <v/>
      </c>
      <c r="BZ217" s="184" t="str">
        <f t="shared" si="600"/>
        <v/>
      </c>
      <c r="CA217" s="184" t="str">
        <f t="shared" si="601"/>
        <v/>
      </c>
      <c r="CB217" s="184" t="str">
        <f t="shared" si="602"/>
        <v/>
      </c>
      <c r="CC217" s="184" t="str">
        <f t="shared" si="603"/>
        <v/>
      </c>
      <c r="CD217" s="184" t="str">
        <f t="shared" si="604"/>
        <v/>
      </c>
      <c r="CE217" s="184" t="str">
        <f t="shared" si="605"/>
        <v/>
      </c>
      <c r="CF217" s="184" t="str">
        <f t="shared" si="606"/>
        <v/>
      </c>
      <c r="CG217" s="184" t="str">
        <f t="shared" si="607"/>
        <v/>
      </c>
      <c r="CH217" s="184" t="str">
        <f t="shared" si="608"/>
        <v/>
      </c>
      <c r="CI217" s="184" t="str">
        <f t="shared" si="609"/>
        <v/>
      </c>
      <c r="CJ217" s="184" t="str">
        <f t="shared" si="610"/>
        <v/>
      </c>
      <c r="CK217" s="184"/>
      <c r="CM217" s="184"/>
      <c r="CN217"/>
      <c r="CP217"/>
      <c r="CR217"/>
      <c r="CT217"/>
      <c r="CV217"/>
      <c r="CX217"/>
      <c r="CZ217"/>
      <c r="DB217"/>
      <c r="DD217"/>
      <c r="DF217"/>
      <c r="ED217" s="184"/>
      <c r="EF217" s="184"/>
      <c r="EH217" s="184"/>
      <c r="EJ217" s="184"/>
      <c r="EL217" s="184"/>
      <c r="EN217" s="184"/>
      <c r="EP217" s="184"/>
      <c r="ER217" s="184"/>
      <c r="ET217" s="184"/>
      <c r="EV217" s="184"/>
      <c r="EX217" s="184"/>
      <c r="EZ217" s="184"/>
      <c r="FB217" s="184"/>
    </row>
    <row r="218" spans="1:158">
      <c r="A218" s="184">
        <f t="shared" si="368"/>
        <v>39</v>
      </c>
      <c r="B218" s="18">
        <f t="shared" si="405"/>
        <v>9780</v>
      </c>
      <c r="C218" s="18">
        <f t="shared" si="482"/>
        <v>12373.333333333307</v>
      </c>
      <c r="D218" s="18">
        <f t="shared" si="483"/>
        <v>16373.333333333307</v>
      </c>
      <c r="E218" s="18">
        <f t="shared" si="458"/>
        <v>19333.333333333343</v>
      </c>
      <c r="F218" s="18">
        <f t="shared" si="459"/>
        <v>9646.6666666666697</v>
      </c>
      <c r="G218" s="18">
        <f t="shared" si="460"/>
        <v>12186.666666666693</v>
      </c>
      <c r="H218" s="18">
        <f t="shared" si="461"/>
        <v>16400</v>
      </c>
      <c r="I218" s="18">
        <f t="shared" si="462"/>
        <v>9753.3333333333267</v>
      </c>
      <c r="J218" s="18">
        <f t="shared" si="463"/>
        <v>12906.666666666693</v>
      </c>
      <c r="K218" s="18">
        <f t="shared" si="464"/>
        <v>16213.333333333307</v>
      </c>
      <c r="L218" s="18">
        <f t="shared" si="465"/>
        <v>19413.333333333347</v>
      </c>
      <c r="M218" s="18">
        <f t="shared" si="466"/>
        <v>24506.666666666617</v>
      </c>
      <c r="N218" s="18">
        <f t="shared" si="467"/>
        <v>13220</v>
      </c>
      <c r="O218" s="18">
        <f t="shared" si="468"/>
        <v>16473.333333333307</v>
      </c>
      <c r="P218" s="18">
        <f t="shared" si="469"/>
        <v>19700</v>
      </c>
      <c r="Q218" s="18">
        <f t="shared" si="470"/>
        <v>23186.666666666613</v>
      </c>
      <c r="R218" s="18">
        <f t="shared" si="471"/>
        <v>33620</v>
      </c>
      <c r="S218" s="18">
        <f t="shared" si="472"/>
        <v>20266.666666666628</v>
      </c>
      <c r="T218" s="18">
        <f t="shared" si="473"/>
        <v>23173.333333333387</v>
      </c>
      <c r="U218" s="18">
        <f t="shared" si="474"/>
        <v>26662.826666666682</v>
      </c>
      <c r="V218" s="18">
        <f t="shared" si="475"/>
        <v>33177.600000000064</v>
      </c>
      <c r="W218" s="18">
        <f t="shared" si="476"/>
        <v>41656.320000000123</v>
      </c>
      <c r="X218" s="18">
        <f t="shared" si="477"/>
        <v>48254.399999999936</v>
      </c>
      <c r="Y218" s="18">
        <f t="shared" si="478"/>
        <v>51066.666666666773</v>
      </c>
      <c r="Z218" s="18">
        <f t="shared" si="478"/>
        <v>40330.66666666673</v>
      </c>
      <c r="AA218" s="18">
        <f t="shared" ref="AA218:AB218" si="620">AA217+(AA$234-AA$174)/60</f>
        <v>48501.333333333227</v>
      </c>
      <c r="AB218" s="18">
        <f t="shared" si="620"/>
        <v>61424</v>
      </c>
      <c r="AC218" s="18">
        <f t="shared" si="477"/>
        <v>13120</v>
      </c>
      <c r="AD218" s="18">
        <f t="shared" ref="AD218:AR218" si="621">AD217+(AD$234-AD$174)/60</f>
        <v>16453.333333333307</v>
      </c>
      <c r="AE218" s="18">
        <f t="shared" si="621"/>
        <v>19026.666666666653</v>
      </c>
      <c r="AF218" s="18">
        <f t="shared" si="621"/>
        <v>22400</v>
      </c>
      <c r="AG218" s="18">
        <f t="shared" si="621"/>
        <v>27413.333333333387</v>
      </c>
      <c r="AH218" s="18">
        <f t="shared" ref="AH218:AK218" si="622">AH217+(AH$234-AH$174)/60</f>
        <v>17506.666666666672</v>
      </c>
      <c r="AI218" s="18">
        <f t="shared" si="622"/>
        <v>20666.666666666635</v>
      </c>
      <c r="AJ218" s="18">
        <f t="shared" si="622"/>
        <v>23800</v>
      </c>
      <c r="AK218" s="18">
        <f t="shared" si="622"/>
        <v>27400</v>
      </c>
      <c r="AL218" s="18">
        <f t="shared" si="621"/>
        <v>22000</v>
      </c>
      <c r="AM218" s="18">
        <f t="shared" si="621"/>
        <v>25000</v>
      </c>
      <c r="AN218" s="18">
        <f t="shared" si="621"/>
        <v>28600</v>
      </c>
      <c r="AO218" s="18">
        <f t="shared" si="621"/>
        <v>45000</v>
      </c>
      <c r="AP218" s="18">
        <f t="shared" si="621"/>
        <v>48000</v>
      </c>
      <c r="AQ218" s="18">
        <f t="shared" si="621"/>
        <v>54000</v>
      </c>
      <c r="AR218" s="18">
        <f t="shared" si="621"/>
        <v>147200</v>
      </c>
      <c r="AS218" s="18">
        <f t="shared" si="566"/>
        <v>13695.652173913044</v>
      </c>
      <c r="AT218" s="184" t="str">
        <f t="shared" si="570"/>
        <v/>
      </c>
      <c r="AU218" s="184" t="str">
        <f t="shared" si="571"/>
        <v/>
      </c>
      <c r="AV218" s="184" t="str">
        <f t="shared" si="572"/>
        <v/>
      </c>
      <c r="AW218" s="184" t="str">
        <f t="shared" si="573"/>
        <v/>
      </c>
      <c r="AX218" s="184" t="str">
        <f t="shared" si="574"/>
        <v/>
      </c>
      <c r="AY218" s="184" t="str">
        <f t="shared" si="575"/>
        <v/>
      </c>
      <c r="AZ218" s="184" t="str">
        <f t="shared" si="576"/>
        <v/>
      </c>
      <c r="BA218" s="184" t="str">
        <f t="shared" si="577"/>
        <v/>
      </c>
      <c r="BB218" s="184" t="str">
        <f t="shared" si="578"/>
        <v/>
      </c>
      <c r="BC218" s="184" t="str">
        <f t="shared" si="579"/>
        <v/>
      </c>
      <c r="BD218" s="184" t="str">
        <f t="shared" si="580"/>
        <v/>
      </c>
      <c r="BE218" s="184" t="str">
        <f t="shared" si="581"/>
        <v/>
      </c>
      <c r="BF218" s="184" t="str">
        <f t="shared" si="582"/>
        <v/>
      </c>
      <c r="BG218" s="184" t="str">
        <f t="shared" si="583"/>
        <v/>
      </c>
      <c r="BH218" s="184" t="str">
        <f t="shared" si="584"/>
        <v/>
      </c>
      <c r="BI218" s="184" t="str">
        <f t="shared" si="585"/>
        <v/>
      </c>
      <c r="BJ218" s="184" t="str">
        <f t="shared" si="586"/>
        <v/>
      </c>
      <c r="BK218" s="184" t="str">
        <f t="shared" si="587"/>
        <v/>
      </c>
      <c r="BL218" s="184" t="str">
        <f t="shared" si="588"/>
        <v/>
      </c>
      <c r="BM218" s="184" t="str">
        <f t="shared" si="589"/>
        <v/>
      </c>
      <c r="BN218" s="184" t="str">
        <f t="shared" si="590"/>
        <v/>
      </c>
      <c r="BO218" s="184" t="str">
        <f t="shared" si="591"/>
        <v/>
      </c>
      <c r="BP218" s="184" t="str">
        <f t="shared" si="592"/>
        <v/>
      </c>
      <c r="BQ218" s="184" t="str">
        <f t="shared" si="593"/>
        <v/>
      </c>
      <c r="BR218" s="184" t="str">
        <f t="shared" si="594"/>
        <v/>
      </c>
      <c r="BS218" s="184" t="str">
        <f t="shared" si="594"/>
        <v/>
      </c>
      <c r="BT218" s="184" t="str">
        <f t="shared" si="594"/>
        <v/>
      </c>
      <c r="BU218" s="184" t="str">
        <f t="shared" si="595"/>
        <v/>
      </c>
      <c r="BV218" s="184" t="str">
        <f t="shared" si="596"/>
        <v/>
      </c>
      <c r="BW218" s="184" t="str">
        <f t="shared" si="597"/>
        <v/>
      </c>
      <c r="BX218" s="184" t="str">
        <f t="shared" si="598"/>
        <v/>
      </c>
      <c r="BY218" s="184" t="str">
        <f t="shared" si="599"/>
        <v/>
      </c>
      <c r="BZ218" s="184" t="str">
        <f t="shared" si="600"/>
        <v/>
      </c>
      <c r="CA218" s="184" t="str">
        <f t="shared" si="601"/>
        <v/>
      </c>
      <c r="CB218" s="184" t="str">
        <f t="shared" si="602"/>
        <v/>
      </c>
      <c r="CC218" s="184" t="str">
        <f t="shared" si="603"/>
        <v/>
      </c>
      <c r="CD218" s="184" t="str">
        <f t="shared" si="604"/>
        <v/>
      </c>
      <c r="CE218" s="184" t="str">
        <f t="shared" si="605"/>
        <v/>
      </c>
      <c r="CF218" s="184" t="str">
        <f t="shared" si="606"/>
        <v/>
      </c>
      <c r="CG218" s="184" t="str">
        <f t="shared" si="607"/>
        <v/>
      </c>
      <c r="CH218" s="184" t="str">
        <f t="shared" si="608"/>
        <v/>
      </c>
      <c r="CI218" s="184" t="str">
        <f t="shared" si="609"/>
        <v/>
      </c>
      <c r="CJ218" s="184" t="str">
        <f t="shared" si="610"/>
        <v/>
      </c>
      <c r="CK218" s="184"/>
      <c r="CM218" s="184"/>
      <c r="CN218"/>
      <c r="CP218"/>
      <c r="CR218"/>
      <c r="CT218"/>
      <c r="CV218"/>
      <c r="CX218"/>
      <c r="CZ218"/>
      <c r="DB218"/>
      <c r="DD218"/>
      <c r="DF218"/>
      <c r="ED218" s="184"/>
      <c r="EF218" s="184"/>
      <c r="EH218" s="184"/>
      <c r="EJ218" s="184"/>
      <c r="EL218" s="184"/>
      <c r="EN218" s="184"/>
      <c r="EP218" s="184"/>
      <c r="ER218" s="184"/>
      <c r="ET218" s="184"/>
      <c r="EV218" s="184"/>
      <c r="EX218" s="184"/>
      <c r="EZ218" s="184"/>
      <c r="FB218" s="184"/>
    </row>
    <row r="219" spans="1:158">
      <c r="A219" s="184">
        <f t="shared" si="368"/>
        <v>39.5</v>
      </c>
      <c r="B219" s="18">
        <f t="shared" si="405"/>
        <v>9850</v>
      </c>
      <c r="C219" s="18">
        <f t="shared" si="482"/>
        <v>12449.999999999973</v>
      </c>
      <c r="D219" s="18">
        <f t="shared" si="483"/>
        <v>16474.999999999975</v>
      </c>
      <c r="E219" s="18">
        <f t="shared" si="458"/>
        <v>19475.000000000011</v>
      </c>
      <c r="F219" s="18">
        <f t="shared" si="459"/>
        <v>9725.0000000000036</v>
      </c>
      <c r="G219" s="18">
        <f t="shared" si="460"/>
        <v>12275.000000000027</v>
      </c>
      <c r="H219" s="18">
        <f t="shared" si="461"/>
        <v>16500</v>
      </c>
      <c r="I219" s="18">
        <f t="shared" si="462"/>
        <v>9824.9999999999927</v>
      </c>
      <c r="J219" s="18">
        <f t="shared" si="463"/>
        <v>13000.000000000027</v>
      </c>
      <c r="K219" s="18">
        <f t="shared" si="464"/>
        <v>16324.999999999973</v>
      </c>
      <c r="L219" s="18">
        <f t="shared" si="465"/>
        <v>19550.000000000015</v>
      </c>
      <c r="M219" s="18">
        <f t="shared" si="466"/>
        <v>24699.999999999949</v>
      </c>
      <c r="N219" s="18">
        <f t="shared" si="467"/>
        <v>13275</v>
      </c>
      <c r="O219" s="18">
        <f t="shared" si="468"/>
        <v>16574.999999999975</v>
      </c>
      <c r="P219" s="18">
        <f t="shared" si="469"/>
        <v>19775</v>
      </c>
      <c r="Q219" s="18">
        <f t="shared" si="470"/>
        <v>23299.999999999945</v>
      </c>
      <c r="R219" s="18">
        <f t="shared" si="471"/>
        <v>33825</v>
      </c>
      <c r="S219" s="18">
        <f t="shared" si="472"/>
        <v>20374.99999999996</v>
      </c>
      <c r="T219" s="18">
        <f t="shared" si="473"/>
        <v>23287.500000000055</v>
      </c>
      <c r="U219" s="18">
        <f t="shared" si="474"/>
        <v>26783.900000000016</v>
      </c>
      <c r="V219" s="18">
        <f t="shared" si="475"/>
        <v>33354.000000000065</v>
      </c>
      <c r="W219" s="18">
        <f t="shared" si="476"/>
        <v>41877.800000000127</v>
      </c>
      <c r="X219" s="18">
        <f t="shared" si="477"/>
        <v>48613.499999999935</v>
      </c>
      <c r="Y219" s="18">
        <f t="shared" si="478"/>
        <v>51250.000000000109</v>
      </c>
      <c r="Z219" s="18">
        <f t="shared" si="478"/>
        <v>40560.000000000065</v>
      </c>
      <c r="AA219" s="18">
        <f t="shared" ref="AA219:AB219" si="623">AA218+(AA$234-AA$174)/60</f>
        <v>48719.999999999891</v>
      </c>
      <c r="AB219" s="18">
        <f t="shared" si="623"/>
        <v>61710</v>
      </c>
      <c r="AC219" s="18">
        <f t="shared" si="477"/>
        <v>13175</v>
      </c>
      <c r="AD219" s="18">
        <f t="shared" ref="AD219:AR219" si="624">AD218+(AD$234-AD$174)/60</f>
        <v>16549.999999999975</v>
      </c>
      <c r="AE219" s="18">
        <f t="shared" si="624"/>
        <v>19149.999999999985</v>
      </c>
      <c r="AF219" s="18">
        <f t="shared" si="624"/>
        <v>22500</v>
      </c>
      <c r="AG219" s="18">
        <f t="shared" si="624"/>
        <v>27575.000000000055</v>
      </c>
      <c r="AH219" s="18">
        <f t="shared" ref="AH219:AK219" si="625">AH218+(AH$234-AH$174)/60</f>
        <v>17600.000000000004</v>
      </c>
      <c r="AI219" s="18">
        <f t="shared" si="625"/>
        <v>20799.999999999967</v>
      </c>
      <c r="AJ219" s="18">
        <f t="shared" si="625"/>
        <v>23875</v>
      </c>
      <c r="AK219" s="18">
        <f t="shared" si="625"/>
        <v>27500</v>
      </c>
      <c r="AL219" s="18">
        <f t="shared" si="624"/>
        <v>22000</v>
      </c>
      <c r="AM219" s="18">
        <f t="shared" si="624"/>
        <v>25000</v>
      </c>
      <c r="AN219" s="18">
        <f t="shared" si="624"/>
        <v>28600</v>
      </c>
      <c r="AO219" s="18">
        <f t="shared" si="624"/>
        <v>45000</v>
      </c>
      <c r="AP219" s="18">
        <f t="shared" si="624"/>
        <v>48000</v>
      </c>
      <c r="AQ219" s="18">
        <f t="shared" si="624"/>
        <v>54000</v>
      </c>
      <c r="AR219" s="18">
        <f t="shared" si="624"/>
        <v>147200</v>
      </c>
      <c r="AS219" s="18">
        <f t="shared" si="566"/>
        <v>13369.565217391304</v>
      </c>
      <c r="AT219" s="184" t="str">
        <f t="shared" si="570"/>
        <v/>
      </c>
      <c r="AU219" s="184" t="str">
        <f t="shared" si="571"/>
        <v/>
      </c>
      <c r="AV219" s="184" t="str">
        <f t="shared" si="572"/>
        <v/>
      </c>
      <c r="AW219" s="184" t="str">
        <f t="shared" si="573"/>
        <v/>
      </c>
      <c r="AX219" s="184" t="str">
        <f t="shared" si="574"/>
        <v/>
      </c>
      <c r="AY219" s="184" t="str">
        <f t="shared" si="575"/>
        <v/>
      </c>
      <c r="AZ219" s="184" t="str">
        <f t="shared" si="576"/>
        <v/>
      </c>
      <c r="BA219" s="184" t="str">
        <f t="shared" si="577"/>
        <v/>
      </c>
      <c r="BB219" s="184" t="str">
        <f t="shared" si="578"/>
        <v/>
      </c>
      <c r="BC219" s="184" t="str">
        <f t="shared" si="579"/>
        <v/>
      </c>
      <c r="BD219" s="184" t="str">
        <f t="shared" si="580"/>
        <v/>
      </c>
      <c r="BE219" s="184" t="str">
        <f t="shared" si="581"/>
        <v/>
      </c>
      <c r="BF219" s="184" t="str">
        <f t="shared" si="582"/>
        <v/>
      </c>
      <c r="BG219" s="184" t="str">
        <f t="shared" si="583"/>
        <v/>
      </c>
      <c r="BH219" s="184" t="str">
        <f t="shared" si="584"/>
        <v/>
      </c>
      <c r="BI219" s="184" t="str">
        <f t="shared" si="585"/>
        <v/>
      </c>
      <c r="BJ219" s="184" t="str">
        <f t="shared" si="586"/>
        <v/>
      </c>
      <c r="BK219" s="184" t="str">
        <f t="shared" si="587"/>
        <v/>
      </c>
      <c r="BL219" s="184" t="str">
        <f t="shared" si="588"/>
        <v/>
      </c>
      <c r="BM219" s="184" t="str">
        <f t="shared" si="589"/>
        <v/>
      </c>
      <c r="BN219" s="184" t="str">
        <f t="shared" si="590"/>
        <v/>
      </c>
      <c r="BO219" s="184" t="str">
        <f t="shared" si="591"/>
        <v/>
      </c>
      <c r="BP219" s="184" t="str">
        <f t="shared" si="592"/>
        <v/>
      </c>
      <c r="BQ219" s="184" t="str">
        <f t="shared" si="593"/>
        <v/>
      </c>
      <c r="BR219" s="184" t="str">
        <f t="shared" si="594"/>
        <v/>
      </c>
      <c r="BS219" s="184" t="str">
        <f t="shared" si="594"/>
        <v/>
      </c>
      <c r="BT219" s="184" t="str">
        <f t="shared" si="594"/>
        <v/>
      </c>
      <c r="BU219" s="184" t="str">
        <f t="shared" si="595"/>
        <v/>
      </c>
      <c r="BV219" s="184" t="str">
        <f t="shared" si="596"/>
        <v/>
      </c>
      <c r="BW219" s="184" t="str">
        <f t="shared" si="597"/>
        <v/>
      </c>
      <c r="BX219" s="184" t="str">
        <f t="shared" si="598"/>
        <v/>
      </c>
      <c r="BY219" s="184" t="str">
        <f t="shared" si="599"/>
        <v/>
      </c>
      <c r="BZ219" s="184" t="str">
        <f t="shared" si="600"/>
        <v/>
      </c>
      <c r="CA219" s="184" t="str">
        <f t="shared" si="601"/>
        <v/>
      </c>
      <c r="CB219" s="184" t="str">
        <f t="shared" si="602"/>
        <v/>
      </c>
      <c r="CC219" s="184" t="str">
        <f t="shared" si="603"/>
        <v/>
      </c>
      <c r="CD219" s="184" t="str">
        <f t="shared" si="604"/>
        <v/>
      </c>
      <c r="CE219" s="184" t="str">
        <f t="shared" si="605"/>
        <v/>
      </c>
      <c r="CF219" s="184" t="str">
        <f t="shared" si="606"/>
        <v/>
      </c>
      <c r="CG219" s="184" t="str">
        <f t="shared" si="607"/>
        <v/>
      </c>
      <c r="CH219" s="184" t="str">
        <f t="shared" si="608"/>
        <v/>
      </c>
      <c r="CI219" s="184" t="str">
        <f t="shared" si="609"/>
        <v/>
      </c>
      <c r="CJ219" s="184" t="str">
        <f t="shared" si="610"/>
        <v/>
      </c>
      <c r="CK219" s="184"/>
      <c r="CM219" s="184"/>
      <c r="CN219"/>
      <c r="CP219"/>
      <c r="CR219"/>
      <c r="CT219"/>
      <c r="CV219"/>
      <c r="CX219"/>
      <c r="CZ219"/>
      <c r="DB219"/>
      <c r="DD219"/>
      <c r="DF219"/>
      <c r="ED219" s="184"/>
      <c r="EF219" s="184"/>
      <c r="EH219" s="184"/>
      <c r="EJ219" s="184"/>
      <c r="EL219" s="184"/>
      <c r="EN219" s="184"/>
      <c r="EP219" s="184"/>
      <c r="ER219" s="184"/>
      <c r="ET219" s="184"/>
      <c r="EV219" s="184"/>
      <c r="EX219" s="184"/>
      <c r="EZ219" s="184"/>
      <c r="FB219" s="184"/>
    </row>
    <row r="220" spans="1:158">
      <c r="A220" s="184">
        <f t="shared" si="368"/>
        <v>40</v>
      </c>
      <c r="B220" s="18">
        <f t="shared" si="405"/>
        <v>9920</v>
      </c>
      <c r="C220" s="18">
        <f t="shared" si="482"/>
        <v>12526.666666666639</v>
      </c>
      <c r="D220" s="18">
        <f t="shared" si="483"/>
        <v>16576.666666666642</v>
      </c>
      <c r="E220" s="18">
        <f t="shared" si="458"/>
        <v>19616.666666666679</v>
      </c>
      <c r="F220" s="18">
        <f t="shared" si="459"/>
        <v>9803.3333333333376</v>
      </c>
      <c r="G220" s="18">
        <f t="shared" si="460"/>
        <v>12363.333333333361</v>
      </c>
      <c r="H220" s="18">
        <f t="shared" si="461"/>
        <v>16600</v>
      </c>
      <c r="I220" s="18">
        <f t="shared" si="462"/>
        <v>9896.6666666666588</v>
      </c>
      <c r="J220" s="18">
        <f t="shared" si="463"/>
        <v>13093.333333333361</v>
      </c>
      <c r="K220" s="18">
        <f t="shared" si="464"/>
        <v>16436.666666666639</v>
      </c>
      <c r="L220" s="18">
        <f t="shared" si="465"/>
        <v>19686.666666666682</v>
      </c>
      <c r="M220" s="18">
        <f t="shared" si="466"/>
        <v>24893.333333333281</v>
      </c>
      <c r="N220" s="18">
        <f t="shared" si="467"/>
        <v>13330</v>
      </c>
      <c r="O220" s="18">
        <f t="shared" si="468"/>
        <v>16676.666666666642</v>
      </c>
      <c r="P220" s="18">
        <f t="shared" si="469"/>
        <v>19850</v>
      </c>
      <c r="Q220" s="18">
        <f t="shared" si="470"/>
        <v>23413.333333333278</v>
      </c>
      <c r="R220" s="18">
        <f t="shared" si="471"/>
        <v>34030</v>
      </c>
      <c r="S220" s="18">
        <f t="shared" si="472"/>
        <v>20483.333333333292</v>
      </c>
      <c r="T220" s="18">
        <f t="shared" si="473"/>
        <v>23401.666666666722</v>
      </c>
      <c r="U220" s="18">
        <f t="shared" si="474"/>
        <v>26904.97333333335</v>
      </c>
      <c r="V220" s="18">
        <f t="shared" si="475"/>
        <v>33530.400000000067</v>
      </c>
      <c r="W220" s="18">
        <f t="shared" si="476"/>
        <v>42099.28000000013</v>
      </c>
      <c r="X220" s="18">
        <f t="shared" si="477"/>
        <v>48972.599999999933</v>
      </c>
      <c r="Y220" s="18">
        <f t="shared" si="478"/>
        <v>51433.333333333445</v>
      </c>
      <c r="Z220" s="18">
        <f t="shared" si="478"/>
        <v>40789.333333333401</v>
      </c>
      <c r="AA220" s="18">
        <f t="shared" ref="AA220:AB220" si="626">AA219+(AA$234-AA$174)/60</f>
        <v>48938.666666666555</v>
      </c>
      <c r="AB220" s="18">
        <f t="shared" si="626"/>
        <v>61996</v>
      </c>
      <c r="AC220" s="18">
        <f t="shared" si="477"/>
        <v>13230</v>
      </c>
      <c r="AD220" s="18">
        <f t="shared" ref="AD220:AR220" si="627">AD219+(AD$234-AD$174)/60</f>
        <v>16646.666666666642</v>
      </c>
      <c r="AE220" s="18">
        <f t="shared" si="627"/>
        <v>19273.333333333318</v>
      </c>
      <c r="AF220" s="18">
        <f t="shared" si="627"/>
        <v>22600</v>
      </c>
      <c r="AG220" s="18">
        <f t="shared" si="627"/>
        <v>27736.666666666722</v>
      </c>
      <c r="AH220" s="18">
        <f t="shared" ref="AH220:AK220" si="628">AH219+(AH$234-AH$174)/60</f>
        <v>17693.333333333336</v>
      </c>
      <c r="AI220" s="18">
        <f t="shared" si="628"/>
        <v>20933.333333333299</v>
      </c>
      <c r="AJ220" s="18">
        <f t="shared" si="628"/>
        <v>23950</v>
      </c>
      <c r="AK220" s="18">
        <f t="shared" si="628"/>
        <v>27600</v>
      </c>
      <c r="AL220" s="18">
        <f t="shared" si="627"/>
        <v>22000</v>
      </c>
      <c r="AM220" s="18">
        <f t="shared" si="627"/>
        <v>25000</v>
      </c>
      <c r="AN220" s="18">
        <f t="shared" si="627"/>
        <v>28600</v>
      </c>
      <c r="AO220" s="18">
        <f t="shared" si="627"/>
        <v>45000</v>
      </c>
      <c r="AP220" s="18">
        <f t="shared" si="627"/>
        <v>48000</v>
      </c>
      <c r="AQ220" s="18">
        <f t="shared" si="627"/>
        <v>54000</v>
      </c>
      <c r="AR220" s="18">
        <f t="shared" si="627"/>
        <v>147200</v>
      </c>
      <c r="AS220" s="18">
        <f t="shared" si="566"/>
        <v>13043.478260869566</v>
      </c>
      <c r="AT220" s="184" t="str">
        <f t="shared" si="570"/>
        <v/>
      </c>
      <c r="AU220" s="184" t="str">
        <f t="shared" si="571"/>
        <v/>
      </c>
      <c r="AV220" s="184" t="str">
        <f t="shared" si="572"/>
        <v/>
      </c>
      <c r="AW220" s="184" t="str">
        <f t="shared" si="573"/>
        <v/>
      </c>
      <c r="AX220" s="184" t="str">
        <f t="shared" si="574"/>
        <v/>
      </c>
      <c r="AY220" s="184" t="str">
        <f t="shared" si="575"/>
        <v/>
      </c>
      <c r="AZ220" s="184" t="str">
        <f t="shared" si="576"/>
        <v/>
      </c>
      <c r="BA220" s="184" t="str">
        <f t="shared" si="577"/>
        <v/>
      </c>
      <c r="BB220" s="184">
        <f t="shared" si="578"/>
        <v>1</v>
      </c>
      <c r="BC220" s="184" t="str">
        <f t="shared" si="579"/>
        <v/>
      </c>
      <c r="BD220" s="184" t="str">
        <f t="shared" si="580"/>
        <v/>
      </c>
      <c r="BE220" s="184" t="str">
        <f t="shared" si="581"/>
        <v/>
      </c>
      <c r="BF220" s="184">
        <f t="shared" si="582"/>
        <v>1</v>
      </c>
      <c r="BG220" s="184" t="str">
        <f t="shared" si="583"/>
        <v/>
      </c>
      <c r="BH220" s="184" t="str">
        <f t="shared" si="584"/>
        <v/>
      </c>
      <c r="BI220" s="184" t="str">
        <f t="shared" si="585"/>
        <v/>
      </c>
      <c r="BJ220" s="184" t="str">
        <f t="shared" si="586"/>
        <v/>
      </c>
      <c r="BK220" s="184" t="str">
        <f t="shared" si="587"/>
        <v/>
      </c>
      <c r="BL220" s="184" t="str">
        <f t="shared" si="588"/>
        <v/>
      </c>
      <c r="BM220" s="184" t="str">
        <f t="shared" si="589"/>
        <v/>
      </c>
      <c r="BN220" s="184" t="str">
        <f t="shared" si="590"/>
        <v/>
      </c>
      <c r="BO220" s="184" t="str">
        <f t="shared" si="591"/>
        <v/>
      </c>
      <c r="BP220" s="184" t="str">
        <f t="shared" si="592"/>
        <v/>
      </c>
      <c r="BQ220" s="184" t="str">
        <f t="shared" si="593"/>
        <v/>
      </c>
      <c r="BR220" s="184" t="str">
        <f t="shared" si="594"/>
        <v/>
      </c>
      <c r="BS220" s="184" t="str">
        <f t="shared" si="594"/>
        <v/>
      </c>
      <c r="BT220" s="184" t="str">
        <f t="shared" si="594"/>
        <v/>
      </c>
      <c r="BU220" s="184">
        <f t="shared" si="595"/>
        <v>1</v>
      </c>
      <c r="BV220" s="184" t="str">
        <f t="shared" si="596"/>
        <v/>
      </c>
      <c r="BW220" s="184" t="str">
        <f t="shared" si="597"/>
        <v/>
      </c>
      <c r="BX220" s="184" t="str">
        <f t="shared" si="598"/>
        <v/>
      </c>
      <c r="BY220" s="184" t="str">
        <f t="shared" si="599"/>
        <v/>
      </c>
      <c r="BZ220" s="184" t="str">
        <f t="shared" si="600"/>
        <v/>
      </c>
      <c r="CA220" s="184" t="str">
        <f t="shared" si="601"/>
        <v/>
      </c>
      <c r="CB220" s="184" t="str">
        <f t="shared" si="602"/>
        <v/>
      </c>
      <c r="CC220" s="184" t="str">
        <f t="shared" si="603"/>
        <v/>
      </c>
      <c r="CD220" s="184" t="str">
        <f t="shared" si="604"/>
        <v/>
      </c>
      <c r="CE220" s="184" t="str">
        <f t="shared" si="605"/>
        <v/>
      </c>
      <c r="CF220" s="184" t="str">
        <f t="shared" si="606"/>
        <v/>
      </c>
      <c r="CG220" s="184" t="str">
        <f t="shared" si="607"/>
        <v/>
      </c>
      <c r="CH220" s="184" t="str">
        <f t="shared" si="608"/>
        <v/>
      </c>
      <c r="CI220" s="184" t="str">
        <f t="shared" si="609"/>
        <v/>
      </c>
      <c r="CJ220" s="184" t="str">
        <f t="shared" si="610"/>
        <v/>
      </c>
      <c r="CK220" s="184"/>
      <c r="CM220" s="184"/>
      <c r="CN220"/>
      <c r="CP220"/>
      <c r="CR220"/>
      <c r="CT220"/>
      <c r="CV220"/>
      <c r="CX220"/>
      <c r="CZ220"/>
      <c r="DB220"/>
      <c r="DD220"/>
      <c r="DF220"/>
      <c r="ED220" s="184"/>
      <c r="EF220" s="184"/>
      <c r="EH220" s="184"/>
      <c r="EJ220" s="184"/>
      <c r="EL220" s="184"/>
      <c r="EN220" s="184"/>
      <c r="EP220" s="184"/>
      <c r="ER220" s="184"/>
      <c r="ET220" s="184"/>
      <c r="EV220" s="184"/>
      <c r="EX220" s="184"/>
      <c r="EZ220" s="184"/>
      <c r="FB220" s="184"/>
    </row>
    <row r="221" spans="1:158">
      <c r="A221" s="184">
        <f t="shared" si="368"/>
        <v>40.5</v>
      </c>
      <c r="B221" s="18">
        <f t="shared" si="405"/>
        <v>9990</v>
      </c>
      <c r="C221" s="18">
        <f t="shared" si="482"/>
        <v>12603.333333333305</v>
      </c>
      <c r="D221" s="18">
        <f t="shared" si="483"/>
        <v>16678.33333333331</v>
      </c>
      <c r="E221" s="18">
        <f t="shared" si="458"/>
        <v>19758.333333333347</v>
      </c>
      <c r="F221" s="18">
        <f t="shared" si="459"/>
        <v>9881.6666666666715</v>
      </c>
      <c r="G221" s="18">
        <f t="shared" si="460"/>
        <v>12451.666666666695</v>
      </c>
      <c r="H221" s="18">
        <f t="shared" si="461"/>
        <v>16700</v>
      </c>
      <c r="I221" s="18">
        <f t="shared" si="462"/>
        <v>9968.3333333333248</v>
      </c>
      <c r="J221" s="18">
        <f t="shared" si="463"/>
        <v>13186.666666666695</v>
      </c>
      <c r="K221" s="18">
        <f t="shared" si="464"/>
        <v>16548.333333333307</v>
      </c>
      <c r="L221" s="18">
        <f t="shared" si="465"/>
        <v>19823.33333333335</v>
      </c>
      <c r="M221" s="18">
        <f t="shared" si="466"/>
        <v>25086.666666666613</v>
      </c>
      <c r="N221" s="18">
        <f t="shared" si="467"/>
        <v>13385</v>
      </c>
      <c r="O221" s="18">
        <f t="shared" si="468"/>
        <v>16778.33333333331</v>
      </c>
      <c r="P221" s="18">
        <f t="shared" si="469"/>
        <v>19925</v>
      </c>
      <c r="Q221" s="18">
        <f t="shared" si="470"/>
        <v>23526.66666666661</v>
      </c>
      <c r="R221" s="18">
        <f t="shared" si="471"/>
        <v>34235</v>
      </c>
      <c r="S221" s="18">
        <f t="shared" si="472"/>
        <v>20591.666666666624</v>
      </c>
      <c r="T221" s="18">
        <f t="shared" si="473"/>
        <v>23515.83333333339</v>
      </c>
      <c r="U221" s="18">
        <f t="shared" si="474"/>
        <v>27026.046666666683</v>
      </c>
      <c r="V221" s="18">
        <f t="shared" si="475"/>
        <v>33706.800000000068</v>
      </c>
      <c r="W221" s="18">
        <f t="shared" si="476"/>
        <v>42320.760000000133</v>
      </c>
      <c r="X221" s="18">
        <f t="shared" si="477"/>
        <v>49331.699999999932</v>
      </c>
      <c r="Y221" s="18">
        <f t="shared" si="478"/>
        <v>51616.666666666781</v>
      </c>
      <c r="Z221" s="18">
        <f t="shared" si="478"/>
        <v>41018.666666666737</v>
      </c>
      <c r="AA221" s="18">
        <f t="shared" ref="AA221:AB221" si="629">AA220+(AA$234-AA$174)/60</f>
        <v>49157.333333333219</v>
      </c>
      <c r="AB221" s="18">
        <f t="shared" si="629"/>
        <v>62282</v>
      </c>
      <c r="AC221" s="18">
        <f t="shared" si="477"/>
        <v>13285</v>
      </c>
      <c r="AD221" s="18">
        <f t="shared" ref="AD221:AR221" si="630">AD220+(AD$234-AD$174)/60</f>
        <v>16743.33333333331</v>
      </c>
      <c r="AE221" s="18">
        <f t="shared" si="630"/>
        <v>19396.66666666665</v>
      </c>
      <c r="AF221" s="18">
        <f t="shared" si="630"/>
        <v>22700</v>
      </c>
      <c r="AG221" s="18">
        <f t="shared" si="630"/>
        <v>27898.33333333339</v>
      </c>
      <c r="AH221" s="18">
        <f t="shared" ref="AH221:AK221" si="631">AH220+(AH$234-AH$174)/60</f>
        <v>17786.666666666668</v>
      </c>
      <c r="AI221" s="18">
        <f t="shared" si="631"/>
        <v>21066.666666666631</v>
      </c>
      <c r="AJ221" s="18">
        <f t="shared" si="631"/>
        <v>24025</v>
      </c>
      <c r="AK221" s="18">
        <f t="shared" si="631"/>
        <v>27700</v>
      </c>
      <c r="AL221" s="18">
        <f t="shared" si="630"/>
        <v>22000</v>
      </c>
      <c r="AM221" s="18">
        <f t="shared" si="630"/>
        <v>25000</v>
      </c>
      <c r="AN221" s="18">
        <f t="shared" si="630"/>
        <v>28600</v>
      </c>
      <c r="AO221" s="18">
        <f t="shared" si="630"/>
        <v>45000</v>
      </c>
      <c r="AP221" s="18">
        <f t="shared" si="630"/>
        <v>48000</v>
      </c>
      <c r="AQ221" s="18">
        <f t="shared" si="630"/>
        <v>54000</v>
      </c>
      <c r="AR221" s="18">
        <f t="shared" si="630"/>
        <v>147200</v>
      </c>
      <c r="AS221" s="18">
        <f t="shared" si="566"/>
        <v>12717.391304347826</v>
      </c>
      <c r="AT221" s="184" t="str">
        <f t="shared" si="570"/>
        <v/>
      </c>
      <c r="AU221" s="184" t="str">
        <f t="shared" si="571"/>
        <v/>
      </c>
      <c r="AV221" s="184" t="str">
        <f t="shared" si="572"/>
        <v/>
      </c>
      <c r="AW221" s="184" t="str">
        <f t="shared" si="573"/>
        <v/>
      </c>
      <c r="AX221" s="184" t="str">
        <f t="shared" si="574"/>
        <v/>
      </c>
      <c r="AY221" s="184" t="str">
        <f t="shared" si="575"/>
        <v/>
      </c>
      <c r="AZ221" s="184" t="str">
        <f t="shared" si="576"/>
        <v/>
      </c>
      <c r="BA221" s="184" t="str">
        <f t="shared" si="577"/>
        <v/>
      </c>
      <c r="BB221" s="184" t="str">
        <f t="shared" si="578"/>
        <v/>
      </c>
      <c r="BC221" s="184" t="str">
        <f t="shared" si="579"/>
        <v/>
      </c>
      <c r="BD221" s="184" t="str">
        <f t="shared" si="580"/>
        <v/>
      </c>
      <c r="BE221" s="184" t="str">
        <f t="shared" si="581"/>
        <v/>
      </c>
      <c r="BF221" s="184" t="str">
        <f t="shared" si="582"/>
        <v/>
      </c>
      <c r="BG221" s="184" t="str">
        <f t="shared" si="583"/>
        <v/>
      </c>
      <c r="BH221" s="184" t="str">
        <f t="shared" si="584"/>
        <v/>
      </c>
      <c r="BI221" s="184" t="str">
        <f t="shared" si="585"/>
        <v/>
      </c>
      <c r="BJ221" s="184" t="str">
        <f t="shared" si="586"/>
        <v/>
      </c>
      <c r="BK221" s="184" t="str">
        <f t="shared" si="587"/>
        <v/>
      </c>
      <c r="BL221" s="184" t="str">
        <f t="shared" si="588"/>
        <v/>
      </c>
      <c r="BM221" s="184" t="str">
        <f t="shared" si="589"/>
        <v/>
      </c>
      <c r="BN221" s="184" t="str">
        <f t="shared" si="590"/>
        <v/>
      </c>
      <c r="BO221" s="184" t="str">
        <f t="shared" si="591"/>
        <v/>
      </c>
      <c r="BP221" s="184" t="str">
        <f t="shared" si="592"/>
        <v/>
      </c>
      <c r="BQ221" s="184" t="str">
        <f t="shared" si="593"/>
        <v/>
      </c>
      <c r="BR221" s="184" t="str">
        <f t="shared" si="594"/>
        <v/>
      </c>
      <c r="BS221" s="184" t="str">
        <f t="shared" si="594"/>
        <v/>
      </c>
      <c r="BT221" s="184" t="str">
        <f t="shared" si="594"/>
        <v/>
      </c>
      <c r="BU221" s="184" t="str">
        <f t="shared" si="595"/>
        <v/>
      </c>
      <c r="BV221" s="184" t="str">
        <f t="shared" si="596"/>
        <v/>
      </c>
      <c r="BW221" s="184" t="str">
        <f t="shared" si="597"/>
        <v/>
      </c>
      <c r="BX221" s="184" t="str">
        <f t="shared" si="598"/>
        <v/>
      </c>
      <c r="BY221" s="184" t="str">
        <f t="shared" si="599"/>
        <v/>
      </c>
      <c r="BZ221" s="184" t="str">
        <f t="shared" si="600"/>
        <v/>
      </c>
      <c r="CA221" s="184" t="str">
        <f t="shared" si="601"/>
        <v/>
      </c>
      <c r="CB221" s="184" t="str">
        <f t="shared" si="602"/>
        <v/>
      </c>
      <c r="CC221" s="184" t="str">
        <f t="shared" si="603"/>
        <v/>
      </c>
      <c r="CD221" s="184" t="str">
        <f t="shared" si="604"/>
        <v/>
      </c>
      <c r="CE221" s="184" t="str">
        <f t="shared" si="605"/>
        <v/>
      </c>
      <c r="CF221" s="184" t="str">
        <f t="shared" si="606"/>
        <v/>
      </c>
      <c r="CG221" s="184" t="str">
        <f t="shared" si="607"/>
        <v/>
      </c>
      <c r="CH221" s="184" t="str">
        <f t="shared" si="608"/>
        <v/>
      </c>
      <c r="CI221" s="184" t="str">
        <f t="shared" si="609"/>
        <v/>
      </c>
      <c r="CJ221" s="184" t="str">
        <f t="shared" si="610"/>
        <v/>
      </c>
      <c r="CK221" s="184"/>
      <c r="CM221" s="184"/>
      <c r="CN221"/>
      <c r="CP221"/>
      <c r="CR221"/>
      <c r="CT221"/>
      <c r="CV221"/>
      <c r="CX221"/>
      <c r="CZ221"/>
      <c r="DB221"/>
      <c r="DD221"/>
      <c r="DF221"/>
      <c r="ED221" s="184"/>
      <c r="EF221" s="184"/>
      <c r="EH221" s="184"/>
      <c r="EJ221" s="184"/>
      <c r="EL221" s="184"/>
      <c r="EN221" s="184"/>
      <c r="EP221" s="184"/>
      <c r="ER221" s="184"/>
      <c r="ET221" s="184"/>
      <c r="EV221" s="184"/>
      <c r="EX221" s="184"/>
      <c r="EZ221" s="184"/>
      <c r="FB221" s="184"/>
    </row>
    <row r="222" spans="1:158">
      <c r="A222" s="184">
        <f t="shared" si="368"/>
        <v>41</v>
      </c>
      <c r="B222" s="18">
        <f t="shared" si="405"/>
        <v>10060</v>
      </c>
      <c r="C222" s="18">
        <f t="shared" si="482"/>
        <v>12679.999999999971</v>
      </c>
      <c r="D222" s="18">
        <f t="shared" si="483"/>
        <v>16779.999999999978</v>
      </c>
      <c r="E222" s="18">
        <f t="shared" si="458"/>
        <v>19900.000000000015</v>
      </c>
      <c r="F222" s="18">
        <f t="shared" si="459"/>
        <v>9960.0000000000055</v>
      </c>
      <c r="G222" s="18">
        <f t="shared" si="460"/>
        <v>12540.000000000029</v>
      </c>
      <c r="H222" s="18">
        <f t="shared" si="461"/>
        <v>16800</v>
      </c>
      <c r="I222" s="18">
        <f t="shared" si="462"/>
        <v>10039.999999999991</v>
      </c>
      <c r="J222" s="18">
        <f t="shared" si="463"/>
        <v>13280.000000000029</v>
      </c>
      <c r="K222" s="18">
        <f t="shared" si="464"/>
        <v>16659.999999999975</v>
      </c>
      <c r="L222" s="18">
        <f t="shared" si="465"/>
        <v>19960.000000000018</v>
      </c>
      <c r="M222" s="18">
        <f t="shared" si="466"/>
        <v>25279.999999999945</v>
      </c>
      <c r="N222" s="18">
        <f t="shared" si="467"/>
        <v>13440</v>
      </c>
      <c r="O222" s="18">
        <f t="shared" si="468"/>
        <v>16879.999999999978</v>
      </c>
      <c r="P222" s="18">
        <f t="shared" si="469"/>
        <v>20000</v>
      </c>
      <c r="Q222" s="18">
        <f t="shared" si="470"/>
        <v>23639.999999999942</v>
      </c>
      <c r="R222" s="18">
        <f t="shared" si="471"/>
        <v>34440</v>
      </c>
      <c r="S222" s="18">
        <f t="shared" si="472"/>
        <v>20699.999999999956</v>
      </c>
      <c r="T222" s="18">
        <f t="shared" si="473"/>
        <v>23630.000000000058</v>
      </c>
      <c r="U222" s="18">
        <f t="shared" si="474"/>
        <v>27147.120000000017</v>
      </c>
      <c r="V222" s="18">
        <f t="shared" si="475"/>
        <v>33883.20000000007</v>
      </c>
      <c r="W222" s="18">
        <f t="shared" si="476"/>
        <v>42542.240000000136</v>
      </c>
      <c r="X222" s="18">
        <f t="shared" si="477"/>
        <v>49690.79999999993</v>
      </c>
      <c r="Y222" s="18">
        <f t="shared" si="478"/>
        <v>51800.000000000116</v>
      </c>
      <c r="Z222" s="18">
        <f t="shared" si="478"/>
        <v>41248.000000000073</v>
      </c>
      <c r="AA222" s="18">
        <f t="shared" ref="AA222:AB222" si="632">AA221+(AA$234-AA$174)/60</f>
        <v>49375.999999999884</v>
      </c>
      <c r="AB222" s="18">
        <f t="shared" si="632"/>
        <v>62568</v>
      </c>
      <c r="AC222" s="18">
        <f t="shared" si="477"/>
        <v>13340</v>
      </c>
      <c r="AD222" s="18">
        <f t="shared" ref="AD222:AR222" si="633">AD221+(AD$234-AD$174)/60</f>
        <v>16839.999999999978</v>
      </c>
      <c r="AE222" s="18">
        <f t="shared" si="633"/>
        <v>19519.999999999982</v>
      </c>
      <c r="AF222" s="18">
        <f t="shared" si="633"/>
        <v>22800</v>
      </c>
      <c r="AG222" s="18">
        <f t="shared" si="633"/>
        <v>28060.000000000058</v>
      </c>
      <c r="AH222" s="18">
        <f t="shared" ref="AH222:AK222" si="634">AH221+(AH$234-AH$174)/60</f>
        <v>17880</v>
      </c>
      <c r="AI222" s="18">
        <f t="shared" si="634"/>
        <v>21199.999999999964</v>
      </c>
      <c r="AJ222" s="18">
        <f t="shared" si="634"/>
        <v>24100</v>
      </c>
      <c r="AK222" s="18">
        <f t="shared" si="634"/>
        <v>27800</v>
      </c>
      <c r="AL222" s="18">
        <f t="shared" si="633"/>
        <v>22000</v>
      </c>
      <c r="AM222" s="18">
        <f t="shared" si="633"/>
        <v>25000</v>
      </c>
      <c r="AN222" s="18">
        <f t="shared" si="633"/>
        <v>28600</v>
      </c>
      <c r="AO222" s="18">
        <f t="shared" si="633"/>
        <v>45000</v>
      </c>
      <c r="AP222" s="18">
        <f t="shared" si="633"/>
        <v>48000</v>
      </c>
      <c r="AQ222" s="18">
        <f t="shared" si="633"/>
        <v>54000</v>
      </c>
      <c r="AR222" s="18">
        <f t="shared" si="633"/>
        <v>147200</v>
      </c>
      <c r="AS222" s="18">
        <f t="shared" si="566"/>
        <v>12391.304347826088</v>
      </c>
      <c r="AT222" s="184" t="str">
        <f t="shared" si="570"/>
        <v/>
      </c>
      <c r="AU222" s="184">
        <f t="shared" si="571"/>
        <v>1</v>
      </c>
      <c r="AV222" s="184" t="str">
        <f t="shared" si="572"/>
        <v/>
      </c>
      <c r="AW222" s="184" t="str">
        <f t="shared" si="573"/>
        <v/>
      </c>
      <c r="AX222" s="184" t="str">
        <f t="shared" si="574"/>
        <v/>
      </c>
      <c r="AY222" s="184">
        <f t="shared" si="575"/>
        <v>1</v>
      </c>
      <c r="AZ222" s="184" t="str">
        <f t="shared" si="576"/>
        <v/>
      </c>
      <c r="BA222" s="184" t="str">
        <f t="shared" si="577"/>
        <v/>
      </c>
      <c r="BB222" s="184" t="str">
        <f t="shared" si="578"/>
        <v/>
      </c>
      <c r="BC222" s="184" t="str">
        <f t="shared" si="579"/>
        <v/>
      </c>
      <c r="BD222" s="184" t="str">
        <f t="shared" si="580"/>
        <v/>
      </c>
      <c r="BE222" s="184" t="str">
        <f t="shared" si="581"/>
        <v/>
      </c>
      <c r="BF222" s="184" t="str">
        <f t="shared" si="582"/>
        <v/>
      </c>
      <c r="BG222" s="184" t="str">
        <f t="shared" si="583"/>
        <v/>
      </c>
      <c r="BH222" s="184" t="str">
        <f t="shared" si="584"/>
        <v/>
      </c>
      <c r="BI222" s="184" t="str">
        <f t="shared" si="585"/>
        <v/>
      </c>
      <c r="BJ222" s="184" t="str">
        <f t="shared" si="586"/>
        <v/>
      </c>
      <c r="BK222" s="184" t="str">
        <f t="shared" si="587"/>
        <v/>
      </c>
      <c r="BL222" s="184" t="str">
        <f t="shared" si="588"/>
        <v/>
      </c>
      <c r="BM222" s="184" t="str">
        <f t="shared" si="589"/>
        <v/>
      </c>
      <c r="BN222" s="184" t="str">
        <f t="shared" si="590"/>
        <v/>
      </c>
      <c r="BO222" s="184" t="str">
        <f t="shared" si="591"/>
        <v/>
      </c>
      <c r="BP222" s="184" t="str">
        <f t="shared" si="592"/>
        <v/>
      </c>
      <c r="BQ222" s="184" t="str">
        <f t="shared" si="593"/>
        <v/>
      </c>
      <c r="BR222" s="184" t="str">
        <f t="shared" si="594"/>
        <v/>
      </c>
      <c r="BS222" s="184" t="str">
        <f t="shared" si="594"/>
        <v/>
      </c>
      <c r="BT222" s="184" t="str">
        <f t="shared" si="594"/>
        <v/>
      </c>
      <c r="BU222" s="184" t="str">
        <f t="shared" si="595"/>
        <v/>
      </c>
      <c r="BV222" s="184" t="str">
        <f t="shared" si="596"/>
        <v/>
      </c>
      <c r="BW222" s="184" t="str">
        <f t="shared" si="597"/>
        <v/>
      </c>
      <c r="BX222" s="184" t="str">
        <f t="shared" si="598"/>
        <v/>
      </c>
      <c r="BY222" s="184" t="str">
        <f t="shared" si="599"/>
        <v/>
      </c>
      <c r="BZ222" s="184" t="str">
        <f t="shared" si="600"/>
        <v/>
      </c>
      <c r="CA222" s="184" t="str">
        <f t="shared" si="601"/>
        <v/>
      </c>
      <c r="CB222" s="184" t="str">
        <f t="shared" si="602"/>
        <v/>
      </c>
      <c r="CC222" s="184" t="str">
        <f t="shared" si="603"/>
        <v/>
      </c>
      <c r="CD222" s="184" t="str">
        <f t="shared" si="604"/>
        <v/>
      </c>
      <c r="CE222" s="184" t="str">
        <f t="shared" si="605"/>
        <v/>
      </c>
      <c r="CF222" s="184" t="str">
        <f t="shared" si="606"/>
        <v/>
      </c>
      <c r="CG222" s="184" t="str">
        <f t="shared" si="607"/>
        <v/>
      </c>
      <c r="CH222" s="184" t="str">
        <f t="shared" si="608"/>
        <v/>
      </c>
      <c r="CI222" s="184" t="str">
        <f t="shared" si="609"/>
        <v/>
      </c>
      <c r="CJ222" s="184" t="str">
        <f t="shared" si="610"/>
        <v/>
      </c>
      <c r="CK222" s="184"/>
      <c r="CM222" s="184"/>
      <c r="CN222"/>
      <c r="CP222"/>
      <c r="CR222"/>
      <c r="CT222"/>
      <c r="CV222"/>
      <c r="CX222"/>
      <c r="CZ222"/>
      <c r="DB222"/>
      <c r="DD222"/>
      <c r="DF222"/>
      <c r="ED222" s="184"/>
      <c r="EF222" s="184"/>
      <c r="EH222" s="184"/>
      <c r="EJ222" s="184"/>
      <c r="EL222" s="184"/>
      <c r="EN222" s="184"/>
      <c r="EP222" s="184"/>
      <c r="ER222" s="184"/>
      <c r="ET222" s="184"/>
      <c r="EV222" s="184"/>
      <c r="EX222" s="184"/>
      <c r="EZ222" s="184"/>
      <c r="FB222" s="184"/>
    </row>
    <row r="223" spans="1:158">
      <c r="A223" s="184">
        <f t="shared" si="368"/>
        <v>41.5</v>
      </c>
      <c r="B223" s="18">
        <f t="shared" si="405"/>
        <v>10130</v>
      </c>
      <c r="C223" s="18">
        <f t="shared" si="482"/>
        <v>12756.666666666637</v>
      </c>
      <c r="D223" s="18">
        <f t="shared" si="483"/>
        <v>16881.666666666646</v>
      </c>
      <c r="E223" s="18">
        <f t="shared" si="458"/>
        <v>20041.666666666682</v>
      </c>
      <c r="F223" s="18">
        <f t="shared" si="459"/>
        <v>10038.333333333339</v>
      </c>
      <c r="G223" s="18">
        <f t="shared" si="460"/>
        <v>12628.333333333363</v>
      </c>
      <c r="H223" s="18">
        <f t="shared" si="461"/>
        <v>16900</v>
      </c>
      <c r="I223" s="18">
        <f t="shared" si="462"/>
        <v>10111.666666666657</v>
      </c>
      <c r="J223" s="18">
        <f t="shared" si="463"/>
        <v>13373.333333333363</v>
      </c>
      <c r="K223" s="18">
        <f t="shared" si="464"/>
        <v>16771.666666666642</v>
      </c>
      <c r="L223" s="18">
        <f t="shared" si="465"/>
        <v>20096.666666666686</v>
      </c>
      <c r="M223" s="18">
        <f t="shared" si="466"/>
        <v>25473.333333333278</v>
      </c>
      <c r="N223" s="18">
        <f t="shared" si="467"/>
        <v>13495</v>
      </c>
      <c r="O223" s="18">
        <f t="shared" si="468"/>
        <v>16981.666666666646</v>
      </c>
      <c r="P223" s="18">
        <f t="shared" si="469"/>
        <v>20075</v>
      </c>
      <c r="Q223" s="18">
        <f t="shared" si="470"/>
        <v>23753.333333333274</v>
      </c>
      <c r="R223" s="18">
        <f t="shared" si="471"/>
        <v>34645</v>
      </c>
      <c r="S223" s="18">
        <f t="shared" si="472"/>
        <v>20808.333333333288</v>
      </c>
      <c r="T223" s="18">
        <f t="shared" si="473"/>
        <v>23744.166666666726</v>
      </c>
      <c r="U223" s="18">
        <f t="shared" si="474"/>
        <v>27268.193333333351</v>
      </c>
      <c r="V223" s="18">
        <f t="shared" si="475"/>
        <v>34059.600000000071</v>
      </c>
      <c r="W223" s="18">
        <f t="shared" si="476"/>
        <v>42763.720000000139</v>
      </c>
      <c r="X223" s="18">
        <f t="shared" si="477"/>
        <v>50049.899999999929</v>
      </c>
      <c r="Y223" s="18">
        <f t="shared" si="478"/>
        <v>51983.333333333452</v>
      </c>
      <c r="Z223" s="18">
        <f t="shared" si="478"/>
        <v>41477.333333333409</v>
      </c>
      <c r="AA223" s="18">
        <f t="shared" ref="AA223:AB223" si="635">AA222+(AA$234-AA$174)/60</f>
        <v>49594.666666666548</v>
      </c>
      <c r="AB223" s="18">
        <f t="shared" si="635"/>
        <v>62854</v>
      </c>
      <c r="AC223" s="18">
        <f t="shared" si="477"/>
        <v>13395</v>
      </c>
      <c r="AD223" s="18">
        <f t="shared" ref="AD223:AR223" si="636">AD222+(AD$234-AD$174)/60</f>
        <v>16936.666666666646</v>
      </c>
      <c r="AE223" s="18">
        <f t="shared" si="636"/>
        <v>19643.333333333314</v>
      </c>
      <c r="AF223" s="18">
        <f t="shared" si="636"/>
        <v>22900</v>
      </c>
      <c r="AG223" s="18">
        <f t="shared" si="636"/>
        <v>28221.666666666726</v>
      </c>
      <c r="AH223" s="18">
        <f t="shared" ref="AH223:AK223" si="637">AH222+(AH$234-AH$174)/60</f>
        <v>17973.333333333332</v>
      </c>
      <c r="AI223" s="18">
        <f t="shared" si="637"/>
        <v>21333.333333333296</v>
      </c>
      <c r="AJ223" s="18">
        <f t="shared" si="637"/>
        <v>24175</v>
      </c>
      <c r="AK223" s="18">
        <f t="shared" si="637"/>
        <v>27900</v>
      </c>
      <c r="AL223" s="18">
        <f t="shared" si="636"/>
        <v>22000</v>
      </c>
      <c r="AM223" s="18">
        <f t="shared" si="636"/>
        <v>25000</v>
      </c>
      <c r="AN223" s="18">
        <f t="shared" si="636"/>
        <v>28600</v>
      </c>
      <c r="AO223" s="18">
        <f t="shared" si="636"/>
        <v>45000</v>
      </c>
      <c r="AP223" s="18">
        <f t="shared" si="636"/>
        <v>48000</v>
      </c>
      <c r="AQ223" s="18">
        <f t="shared" si="636"/>
        <v>54000</v>
      </c>
      <c r="AR223" s="18">
        <f t="shared" si="636"/>
        <v>147200</v>
      </c>
      <c r="AS223" s="18">
        <f t="shared" si="566"/>
        <v>12065.21739130435</v>
      </c>
      <c r="AT223" s="184" t="str">
        <f t="shared" si="570"/>
        <v/>
      </c>
      <c r="AU223" s="184" t="str">
        <f t="shared" si="571"/>
        <v/>
      </c>
      <c r="AV223" s="184" t="str">
        <f t="shared" si="572"/>
        <v/>
      </c>
      <c r="AW223" s="184" t="str">
        <f t="shared" si="573"/>
        <v/>
      </c>
      <c r="AX223" s="184" t="str">
        <f t="shared" si="574"/>
        <v/>
      </c>
      <c r="AY223" s="184" t="str">
        <f t="shared" si="575"/>
        <v/>
      </c>
      <c r="AZ223" s="184" t="str">
        <f t="shared" si="576"/>
        <v/>
      </c>
      <c r="BA223" s="184" t="str">
        <f t="shared" si="577"/>
        <v/>
      </c>
      <c r="BB223" s="184" t="str">
        <f t="shared" si="578"/>
        <v/>
      </c>
      <c r="BC223" s="184" t="str">
        <f t="shared" si="579"/>
        <v/>
      </c>
      <c r="BD223" s="184" t="str">
        <f t="shared" si="580"/>
        <v/>
      </c>
      <c r="BE223" s="184" t="str">
        <f t="shared" si="581"/>
        <v/>
      </c>
      <c r="BF223" s="184" t="str">
        <f t="shared" si="582"/>
        <v/>
      </c>
      <c r="BG223" s="184" t="str">
        <f t="shared" si="583"/>
        <v/>
      </c>
      <c r="BH223" s="184" t="str">
        <f t="shared" si="584"/>
        <v/>
      </c>
      <c r="BI223" s="184" t="str">
        <f t="shared" si="585"/>
        <v/>
      </c>
      <c r="BJ223" s="184" t="str">
        <f t="shared" si="586"/>
        <v/>
      </c>
      <c r="BK223" s="184" t="str">
        <f t="shared" si="587"/>
        <v/>
      </c>
      <c r="BL223" s="184" t="str">
        <f t="shared" si="588"/>
        <v/>
      </c>
      <c r="BM223" s="184" t="str">
        <f t="shared" si="589"/>
        <v/>
      </c>
      <c r="BN223" s="184" t="str">
        <f t="shared" si="590"/>
        <v/>
      </c>
      <c r="BO223" s="184" t="str">
        <f t="shared" si="591"/>
        <v/>
      </c>
      <c r="BP223" s="184" t="str">
        <f t="shared" si="592"/>
        <v/>
      </c>
      <c r="BQ223" s="184" t="str">
        <f t="shared" si="593"/>
        <v/>
      </c>
      <c r="BR223" s="184" t="str">
        <f t="shared" si="594"/>
        <v/>
      </c>
      <c r="BS223" s="184" t="str">
        <f t="shared" si="594"/>
        <v/>
      </c>
      <c r="BT223" s="184" t="str">
        <f t="shared" si="594"/>
        <v/>
      </c>
      <c r="BU223" s="184" t="str">
        <f t="shared" si="595"/>
        <v/>
      </c>
      <c r="BV223" s="184" t="str">
        <f t="shared" si="596"/>
        <v/>
      </c>
      <c r="BW223" s="184" t="str">
        <f t="shared" si="597"/>
        <v/>
      </c>
      <c r="BX223" s="184" t="str">
        <f t="shared" si="598"/>
        <v/>
      </c>
      <c r="BY223" s="184" t="str">
        <f t="shared" si="599"/>
        <v/>
      </c>
      <c r="BZ223" s="184" t="str">
        <f t="shared" si="600"/>
        <v/>
      </c>
      <c r="CA223" s="184" t="str">
        <f t="shared" si="601"/>
        <v/>
      </c>
      <c r="CB223" s="184" t="str">
        <f t="shared" si="602"/>
        <v/>
      </c>
      <c r="CC223" s="184" t="str">
        <f t="shared" si="603"/>
        <v/>
      </c>
      <c r="CD223" s="184" t="str">
        <f t="shared" si="604"/>
        <v/>
      </c>
      <c r="CE223" s="184" t="str">
        <f t="shared" si="605"/>
        <v/>
      </c>
      <c r="CF223" s="184" t="str">
        <f t="shared" si="606"/>
        <v/>
      </c>
      <c r="CG223" s="184" t="str">
        <f t="shared" si="607"/>
        <v/>
      </c>
      <c r="CH223" s="184" t="str">
        <f t="shared" si="608"/>
        <v/>
      </c>
      <c r="CI223" s="184" t="str">
        <f t="shared" si="609"/>
        <v/>
      </c>
      <c r="CJ223" s="184" t="str">
        <f t="shared" si="610"/>
        <v/>
      </c>
      <c r="CK223" s="184"/>
      <c r="CM223" s="184"/>
      <c r="CN223"/>
      <c r="CP223"/>
      <c r="CR223"/>
      <c r="CT223"/>
      <c r="CV223"/>
      <c r="CX223"/>
      <c r="CZ223"/>
      <c r="DB223"/>
      <c r="DD223"/>
      <c r="DF223"/>
      <c r="ED223" s="184"/>
      <c r="EF223" s="184"/>
      <c r="EH223" s="184"/>
      <c r="EJ223" s="184"/>
      <c r="EL223" s="184"/>
      <c r="EN223" s="184"/>
      <c r="EP223" s="184"/>
      <c r="ER223" s="184"/>
      <c r="ET223" s="184"/>
      <c r="EV223" s="184"/>
      <c r="EX223" s="184"/>
      <c r="EZ223" s="184"/>
      <c r="FB223" s="184"/>
    </row>
    <row r="224" spans="1:158">
      <c r="A224" s="184">
        <f t="shared" si="368"/>
        <v>42</v>
      </c>
      <c r="B224" s="18">
        <f t="shared" si="405"/>
        <v>10200</v>
      </c>
      <c r="C224" s="18">
        <f t="shared" si="482"/>
        <v>12833.333333333303</v>
      </c>
      <c r="D224" s="18">
        <f t="shared" si="483"/>
        <v>16983.333333333314</v>
      </c>
      <c r="E224" s="18">
        <f t="shared" si="458"/>
        <v>20183.33333333335</v>
      </c>
      <c r="F224" s="18">
        <f t="shared" si="459"/>
        <v>10116.666666666673</v>
      </c>
      <c r="G224" s="18">
        <f t="shared" si="460"/>
        <v>12716.666666666697</v>
      </c>
      <c r="H224" s="18">
        <f t="shared" si="461"/>
        <v>17000</v>
      </c>
      <c r="I224" s="18">
        <f t="shared" si="462"/>
        <v>10183.333333333323</v>
      </c>
      <c r="J224" s="18">
        <f t="shared" si="463"/>
        <v>13466.666666666697</v>
      </c>
      <c r="K224" s="18">
        <f t="shared" si="464"/>
        <v>16883.33333333331</v>
      </c>
      <c r="L224" s="18">
        <f t="shared" si="465"/>
        <v>20233.333333333354</v>
      </c>
      <c r="M224" s="18">
        <f t="shared" si="466"/>
        <v>25666.66666666661</v>
      </c>
      <c r="N224" s="18">
        <f t="shared" si="467"/>
        <v>13550</v>
      </c>
      <c r="O224" s="18">
        <f t="shared" si="468"/>
        <v>17083.333333333314</v>
      </c>
      <c r="P224" s="18">
        <f t="shared" si="469"/>
        <v>20150</v>
      </c>
      <c r="Q224" s="18">
        <f t="shared" si="470"/>
        <v>23866.666666666606</v>
      </c>
      <c r="R224" s="18">
        <f t="shared" si="471"/>
        <v>34850</v>
      </c>
      <c r="S224" s="18">
        <f t="shared" si="472"/>
        <v>20916.666666666621</v>
      </c>
      <c r="T224" s="18">
        <f t="shared" si="473"/>
        <v>23858.333333333394</v>
      </c>
      <c r="U224" s="18">
        <f t="shared" si="474"/>
        <v>27389.266666666685</v>
      </c>
      <c r="V224" s="18">
        <f t="shared" si="475"/>
        <v>34236.000000000073</v>
      </c>
      <c r="W224" s="18">
        <f t="shared" si="476"/>
        <v>42985.200000000143</v>
      </c>
      <c r="X224" s="18">
        <f t="shared" si="477"/>
        <v>50408.999999999927</v>
      </c>
      <c r="Y224" s="18">
        <f t="shared" si="478"/>
        <v>52166.666666666788</v>
      </c>
      <c r="Z224" s="18">
        <f t="shared" si="478"/>
        <v>41706.666666666744</v>
      </c>
      <c r="AA224" s="18">
        <f t="shared" ref="AA224:AB224" si="638">AA223+(AA$234-AA$174)/60</f>
        <v>49813.333333333212</v>
      </c>
      <c r="AB224" s="18">
        <f t="shared" si="638"/>
        <v>63140</v>
      </c>
      <c r="AC224" s="18">
        <f t="shared" si="477"/>
        <v>13450</v>
      </c>
      <c r="AD224" s="18">
        <f t="shared" ref="AD224:AR224" si="639">AD223+(AD$234-AD$174)/60</f>
        <v>17033.333333333314</v>
      </c>
      <c r="AE224" s="18">
        <f t="shared" si="639"/>
        <v>19766.666666666646</v>
      </c>
      <c r="AF224" s="18">
        <f t="shared" si="639"/>
        <v>23000</v>
      </c>
      <c r="AG224" s="18">
        <f t="shared" si="639"/>
        <v>28383.333333333394</v>
      </c>
      <c r="AH224" s="18">
        <f t="shared" ref="AH224:AK224" si="640">AH223+(AH$234-AH$174)/60</f>
        <v>18066.666666666664</v>
      </c>
      <c r="AI224" s="18">
        <f t="shared" si="640"/>
        <v>21466.666666666628</v>
      </c>
      <c r="AJ224" s="18">
        <f t="shared" si="640"/>
        <v>24250</v>
      </c>
      <c r="AK224" s="18">
        <f t="shared" si="640"/>
        <v>28000</v>
      </c>
      <c r="AL224" s="18">
        <f t="shared" si="639"/>
        <v>22000</v>
      </c>
      <c r="AM224" s="18">
        <f t="shared" si="639"/>
        <v>25000</v>
      </c>
      <c r="AN224" s="18">
        <f t="shared" si="639"/>
        <v>28600</v>
      </c>
      <c r="AO224" s="18">
        <f t="shared" si="639"/>
        <v>45000</v>
      </c>
      <c r="AP224" s="18">
        <f t="shared" si="639"/>
        <v>48000</v>
      </c>
      <c r="AQ224" s="18">
        <f t="shared" si="639"/>
        <v>54000</v>
      </c>
      <c r="AR224" s="18">
        <f t="shared" si="639"/>
        <v>147200</v>
      </c>
      <c r="AS224" s="18">
        <f t="shared" si="566"/>
        <v>11739.130434782608</v>
      </c>
      <c r="AT224" s="184" t="str">
        <f t="shared" si="570"/>
        <v/>
      </c>
      <c r="AU224" s="184" t="str">
        <f t="shared" si="571"/>
        <v/>
      </c>
      <c r="AV224" s="184" t="str">
        <f t="shared" si="572"/>
        <v/>
      </c>
      <c r="AW224" s="184" t="str">
        <f t="shared" si="573"/>
        <v/>
      </c>
      <c r="AX224" s="184" t="str">
        <f t="shared" si="574"/>
        <v/>
      </c>
      <c r="AY224" s="184" t="str">
        <f t="shared" si="575"/>
        <v/>
      </c>
      <c r="AZ224" s="184" t="str">
        <f t="shared" si="576"/>
        <v/>
      </c>
      <c r="BA224" s="184" t="str">
        <f t="shared" si="577"/>
        <v/>
      </c>
      <c r="BB224" s="184" t="str">
        <f t="shared" si="578"/>
        <v/>
      </c>
      <c r="BC224" s="184" t="str">
        <f t="shared" si="579"/>
        <v/>
      </c>
      <c r="BD224" s="184" t="str">
        <f t="shared" si="580"/>
        <v/>
      </c>
      <c r="BE224" s="184" t="str">
        <f t="shared" si="581"/>
        <v/>
      </c>
      <c r="BF224" s="184" t="str">
        <f t="shared" si="582"/>
        <v/>
      </c>
      <c r="BG224" s="184" t="str">
        <f t="shared" si="583"/>
        <v/>
      </c>
      <c r="BH224" s="184" t="str">
        <f t="shared" si="584"/>
        <v/>
      </c>
      <c r="BI224" s="184" t="str">
        <f t="shared" si="585"/>
        <v/>
      </c>
      <c r="BJ224" s="184" t="str">
        <f t="shared" si="586"/>
        <v/>
      </c>
      <c r="BK224" s="184" t="str">
        <f t="shared" si="587"/>
        <v/>
      </c>
      <c r="BL224" s="184" t="str">
        <f t="shared" si="588"/>
        <v/>
      </c>
      <c r="BM224" s="184" t="str">
        <f t="shared" si="589"/>
        <v/>
      </c>
      <c r="BN224" s="184" t="str">
        <f t="shared" si="590"/>
        <v/>
      </c>
      <c r="BO224" s="184" t="str">
        <f t="shared" si="591"/>
        <v/>
      </c>
      <c r="BP224" s="184" t="str">
        <f t="shared" si="592"/>
        <v/>
      </c>
      <c r="BQ224" s="184" t="str">
        <f t="shared" si="593"/>
        <v/>
      </c>
      <c r="BR224" s="184" t="str">
        <f t="shared" si="594"/>
        <v/>
      </c>
      <c r="BS224" s="184" t="str">
        <f t="shared" si="594"/>
        <v/>
      </c>
      <c r="BT224" s="184" t="str">
        <f t="shared" si="594"/>
        <v/>
      </c>
      <c r="BU224" s="184" t="str">
        <f t="shared" si="595"/>
        <v/>
      </c>
      <c r="BV224" s="184" t="str">
        <f t="shared" si="596"/>
        <v/>
      </c>
      <c r="BW224" s="184" t="str">
        <f t="shared" si="597"/>
        <v/>
      </c>
      <c r="BX224" s="184" t="str">
        <f t="shared" si="598"/>
        <v/>
      </c>
      <c r="BY224" s="184" t="str">
        <f t="shared" si="599"/>
        <v/>
      </c>
      <c r="BZ224" s="184" t="str">
        <f t="shared" si="600"/>
        <v/>
      </c>
      <c r="CA224" s="184" t="str">
        <f t="shared" si="601"/>
        <v/>
      </c>
      <c r="CB224" s="184" t="str">
        <f t="shared" si="602"/>
        <v/>
      </c>
      <c r="CC224" s="184" t="str">
        <f t="shared" si="603"/>
        <v/>
      </c>
      <c r="CD224" s="184" t="str">
        <f t="shared" si="604"/>
        <v/>
      </c>
      <c r="CE224" s="184" t="str">
        <f t="shared" si="605"/>
        <v/>
      </c>
      <c r="CF224" s="184" t="str">
        <f t="shared" si="606"/>
        <v/>
      </c>
      <c r="CG224" s="184" t="str">
        <f t="shared" si="607"/>
        <v/>
      </c>
      <c r="CH224" s="184" t="str">
        <f t="shared" si="608"/>
        <v/>
      </c>
      <c r="CI224" s="184" t="str">
        <f t="shared" si="609"/>
        <v/>
      </c>
      <c r="CJ224" s="184" t="str">
        <f t="shared" si="610"/>
        <v/>
      </c>
      <c r="CK224" s="184"/>
      <c r="CM224" s="184"/>
      <c r="CN224"/>
      <c r="CP224"/>
      <c r="CR224"/>
      <c r="CT224"/>
      <c r="CV224"/>
      <c r="CX224"/>
      <c r="CZ224"/>
      <c r="DB224"/>
      <c r="DD224"/>
      <c r="DF224"/>
      <c r="ED224" s="184"/>
      <c r="EF224" s="184"/>
      <c r="EH224" s="184"/>
      <c r="EJ224" s="184"/>
      <c r="EL224" s="184"/>
      <c r="EN224" s="184"/>
      <c r="EP224" s="184"/>
      <c r="ER224" s="184"/>
      <c r="ET224" s="184"/>
      <c r="EV224" s="184"/>
      <c r="EX224" s="184"/>
      <c r="EZ224" s="184"/>
      <c r="FB224" s="184"/>
    </row>
    <row r="225" spans="1:158">
      <c r="A225" s="184">
        <f t="shared" si="368"/>
        <v>42.5</v>
      </c>
      <c r="B225" s="18">
        <f t="shared" si="405"/>
        <v>10270</v>
      </c>
      <c r="C225" s="18">
        <f t="shared" si="482"/>
        <v>12909.999999999969</v>
      </c>
      <c r="D225" s="18">
        <f t="shared" si="483"/>
        <v>17084.999999999982</v>
      </c>
      <c r="E225" s="18">
        <f t="shared" si="458"/>
        <v>20325.000000000018</v>
      </c>
      <c r="F225" s="18">
        <f t="shared" si="459"/>
        <v>10195.000000000007</v>
      </c>
      <c r="G225" s="18">
        <f t="shared" si="460"/>
        <v>12805.000000000031</v>
      </c>
      <c r="H225" s="18">
        <f t="shared" si="461"/>
        <v>17100</v>
      </c>
      <c r="I225" s="18">
        <f t="shared" si="462"/>
        <v>10254.999999999989</v>
      </c>
      <c r="J225" s="18">
        <f t="shared" si="463"/>
        <v>13560.000000000031</v>
      </c>
      <c r="K225" s="18">
        <f t="shared" si="464"/>
        <v>16994.999999999978</v>
      </c>
      <c r="L225" s="18">
        <f t="shared" si="465"/>
        <v>20370.000000000022</v>
      </c>
      <c r="M225" s="18">
        <f t="shared" si="466"/>
        <v>25859.999999999942</v>
      </c>
      <c r="N225" s="18">
        <f t="shared" si="467"/>
        <v>13605</v>
      </c>
      <c r="O225" s="18">
        <f t="shared" si="468"/>
        <v>17184.999999999982</v>
      </c>
      <c r="P225" s="18">
        <f t="shared" si="469"/>
        <v>20225</v>
      </c>
      <c r="Q225" s="18">
        <f t="shared" si="470"/>
        <v>23979.999999999938</v>
      </c>
      <c r="R225" s="18">
        <f t="shared" si="471"/>
        <v>35055</v>
      </c>
      <c r="S225" s="18">
        <f t="shared" si="472"/>
        <v>21024.999999999953</v>
      </c>
      <c r="T225" s="18">
        <f t="shared" si="473"/>
        <v>23972.500000000062</v>
      </c>
      <c r="U225" s="18">
        <f t="shared" si="474"/>
        <v>27510.340000000018</v>
      </c>
      <c r="V225" s="18">
        <f t="shared" si="475"/>
        <v>34412.400000000074</v>
      </c>
      <c r="W225" s="18">
        <f t="shared" si="476"/>
        <v>43206.680000000146</v>
      </c>
      <c r="X225" s="18">
        <f t="shared" si="477"/>
        <v>50768.099999999926</v>
      </c>
      <c r="Y225" s="18">
        <f t="shared" si="478"/>
        <v>52350.000000000124</v>
      </c>
      <c r="Z225" s="18">
        <f t="shared" si="478"/>
        <v>41936.00000000008</v>
      </c>
      <c r="AA225" s="18">
        <f t="shared" ref="AA225:AB225" si="641">AA224+(AA$234-AA$174)/60</f>
        <v>50031.999999999876</v>
      </c>
      <c r="AB225" s="18">
        <f t="shared" si="641"/>
        <v>63426</v>
      </c>
      <c r="AC225" s="18">
        <f t="shared" si="477"/>
        <v>13505</v>
      </c>
      <c r="AD225" s="18">
        <f t="shared" ref="AD225:AR225" si="642">AD224+(AD$234-AD$174)/60</f>
        <v>17129.999999999982</v>
      </c>
      <c r="AE225" s="18">
        <f t="shared" si="642"/>
        <v>19889.999999999978</v>
      </c>
      <c r="AF225" s="18">
        <f t="shared" si="642"/>
        <v>23100</v>
      </c>
      <c r="AG225" s="18">
        <f t="shared" si="642"/>
        <v>28545.000000000062</v>
      </c>
      <c r="AH225" s="18">
        <f t="shared" ref="AH225:AK225" si="643">AH224+(AH$234-AH$174)/60</f>
        <v>18159.999999999996</v>
      </c>
      <c r="AI225" s="18">
        <f t="shared" si="643"/>
        <v>21599.99999999996</v>
      </c>
      <c r="AJ225" s="18">
        <f t="shared" si="643"/>
        <v>24325</v>
      </c>
      <c r="AK225" s="18">
        <f t="shared" si="643"/>
        <v>28100</v>
      </c>
      <c r="AL225" s="18">
        <f t="shared" si="642"/>
        <v>22000</v>
      </c>
      <c r="AM225" s="18">
        <f t="shared" si="642"/>
        <v>25000</v>
      </c>
      <c r="AN225" s="18">
        <f t="shared" si="642"/>
        <v>28600</v>
      </c>
      <c r="AO225" s="18">
        <f t="shared" si="642"/>
        <v>45000</v>
      </c>
      <c r="AP225" s="18">
        <f t="shared" si="642"/>
        <v>48000</v>
      </c>
      <c r="AQ225" s="18">
        <f t="shared" si="642"/>
        <v>54000</v>
      </c>
      <c r="AR225" s="18">
        <f t="shared" si="642"/>
        <v>147200</v>
      </c>
      <c r="AS225" s="18">
        <f t="shared" si="566"/>
        <v>11413.04347826087</v>
      </c>
      <c r="AT225" s="184" t="str">
        <f t="shared" si="570"/>
        <v/>
      </c>
      <c r="AU225" s="184" t="str">
        <f t="shared" si="571"/>
        <v/>
      </c>
      <c r="AV225" s="184" t="str">
        <f t="shared" si="572"/>
        <v/>
      </c>
      <c r="AW225" s="184" t="str">
        <f t="shared" si="573"/>
        <v/>
      </c>
      <c r="AX225" s="184" t="str">
        <f t="shared" si="574"/>
        <v/>
      </c>
      <c r="AY225" s="184" t="str">
        <f t="shared" si="575"/>
        <v/>
      </c>
      <c r="AZ225" s="184" t="str">
        <f t="shared" si="576"/>
        <v/>
      </c>
      <c r="BA225" s="184" t="str">
        <f t="shared" si="577"/>
        <v/>
      </c>
      <c r="BB225" s="184" t="str">
        <f t="shared" si="578"/>
        <v/>
      </c>
      <c r="BC225" s="184" t="str">
        <f t="shared" si="579"/>
        <v/>
      </c>
      <c r="BD225" s="184" t="str">
        <f t="shared" si="580"/>
        <v/>
      </c>
      <c r="BE225" s="184" t="str">
        <f t="shared" si="581"/>
        <v/>
      </c>
      <c r="BF225" s="184" t="str">
        <f t="shared" si="582"/>
        <v/>
      </c>
      <c r="BG225" s="184" t="str">
        <f t="shared" si="583"/>
        <v/>
      </c>
      <c r="BH225" s="184" t="str">
        <f t="shared" si="584"/>
        <v/>
      </c>
      <c r="BI225" s="184" t="str">
        <f t="shared" si="585"/>
        <v/>
      </c>
      <c r="BJ225" s="184" t="str">
        <f t="shared" si="586"/>
        <v/>
      </c>
      <c r="BK225" s="184" t="str">
        <f t="shared" si="587"/>
        <v/>
      </c>
      <c r="BL225" s="184" t="str">
        <f t="shared" si="588"/>
        <v/>
      </c>
      <c r="BM225" s="184" t="str">
        <f t="shared" si="589"/>
        <v/>
      </c>
      <c r="BN225" s="184" t="str">
        <f t="shared" si="590"/>
        <v/>
      </c>
      <c r="BO225" s="184" t="str">
        <f t="shared" si="591"/>
        <v/>
      </c>
      <c r="BP225" s="184" t="str">
        <f t="shared" si="592"/>
        <v/>
      </c>
      <c r="BQ225" s="184" t="str">
        <f t="shared" si="593"/>
        <v/>
      </c>
      <c r="BR225" s="184" t="str">
        <f t="shared" si="594"/>
        <v/>
      </c>
      <c r="BS225" s="184" t="str">
        <f t="shared" si="594"/>
        <v/>
      </c>
      <c r="BT225" s="184" t="str">
        <f t="shared" si="594"/>
        <v/>
      </c>
      <c r="BU225" s="184" t="str">
        <f t="shared" si="595"/>
        <v/>
      </c>
      <c r="BV225" s="184" t="str">
        <f t="shared" si="596"/>
        <v/>
      </c>
      <c r="BW225" s="184" t="str">
        <f t="shared" si="597"/>
        <v/>
      </c>
      <c r="BX225" s="184" t="str">
        <f t="shared" si="598"/>
        <v/>
      </c>
      <c r="BY225" s="184" t="str">
        <f t="shared" si="599"/>
        <v/>
      </c>
      <c r="BZ225" s="184" t="str">
        <f t="shared" si="600"/>
        <v/>
      </c>
      <c r="CA225" s="184" t="str">
        <f t="shared" si="601"/>
        <v/>
      </c>
      <c r="CB225" s="184" t="str">
        <f t="shared" si="602"/>
        <v/>
      </c>
      <c r="CC225" s="184" t="str">
        <f t="shared" si="603"/>
        <v/>
      </c>
      <c r="CD225" s="184" t="str">
        <f t="shared" si="604"/>
        <v/>
      </c>
      <c r="CE225" s="184" t="str">
        <f t="shared" si="605"/>
        <v/>
      </c>
      <c r="CF225" s="184" t="str">
        <f t="shared" si="606"/>
        <v/>
      </c>
      <c r="CG225" s="184" t="str">
        <f t="shared" si="607"/>
        <v/>
      </c>
      <c r="CH225" s="184" t="str">
        <f t="shared" si="608"/>
        <v/>
      </c>
      <c r="CI225" s="184" t="str">
        <f t="shared" si="609"/>
        <v/>
      </c>
      <c r="CJ225" s="184" t="str">
        <f t="shared" si="610"/>
        <v/>
      </c>
      <c r="CK225" s="184"/>
      <c r="CM225" s="184"/>
      <c r="CN225"/>
      <c r="CP225"/>
      <c r="CR225"/>
      <c r="CT225"/>
      <c r="CV225"/>
      <c r="CX225"/>
      <c r="CZ225"/>
      <c r="DB225"/>
      <c r="DD225"/>
      <c r="DF225"/>
      <c r="ED225" s="184"/>
      <c r="EF225" s="184"/>
      <c r="EH225" s="184"/>
      <c r="EJ225" s="184"/>
      <c r="EL225" s="184"/>
      <c r="EN225" s="184"/>
      <c r="EP225" s="184"/>
      <c r="ER225" s="184"/>
      <c r="ET225" s="184"/>
      <c r="EV225" s="184"/>
      <c r="EX225" s="184"/>
      <c r="EZ225" s="184"/>
      <c r="FB225" s="184"/>
    </row>
    <row r="226" spans="1:158">
      <c r="A226" s="184">
        <f t="shared" si="368"/>
        <v>43</v>
      </c>
      <c r="B226" s="18">
        <f t="shared" si="405"/>
        <v>10340</v>
      </c>
      <c r="C226" s="18">
        <f t="shared" si="482"/>
        <v>12986.666666666635</v>
      </c>
      <c r="D226" s="18">
        <f t="shared" si="483"/>
        <v>17186.66666666665</v>
      </c>
      <c r="E226" s="18">
        <f t="shared" si="458"/>
        <v>20466.666666666686</v>
      </c>
      <c r="F226" s="18">
        <f t="shared" si="459"/>
        <v>10273.333333333341</v>
      </c>
      <c r="G226" s="18">
        <f t="shared" si="460"/>
        <v>12893.333333333365</v>
      </c>
      <c r="H226" s="18">
        <f t="shared" si="461"/>
        <v>17200</v>
      </c>
      <c r="I226" s="18">
        <f t="shared" si="462"/>
        <v>10326.666666666655</v>
      </c>
      <c r="J226" s="18">
        <f t="shared" si="463"/>
        <v>13653.333333333365</v>
      </c>
      <c r="K226" s="18">
        <f t="shared" si="464"/>
        <v>17106.666666666646</v>
      </c>
      <c r="L226" s="18">
        <f t="shared" si="465"/>
        <v>20506.66666666669</v>
      </c>
      <c r="M226" s="18">
        <f t="shared" si="466"/>
        <v>26053.333333333274</v>
      </c>
      <c r="N226" s="18">
        <f t="shared" si="467"/>
        <v>13660</v>
      </c>
      <c r="O226" s="18">
        <f t="shared" si="468"/>
        <v>17286.66666666665</v>
      </c>
      <c r="P226" s="18">
        <f t="shared" si="469"/>
        <v>20300</v>
      </c>
      <c r="Q226" s="18">
        <f t="shared" si="470"/>
        <v>24093.33333333327</v>
      </c>
      <c r="R226" s="18">
        <f t="shared" si="471"/>
        <v>35260</v>
      </c>
      <c r="S226" s="18">
        <f t="shared" si="472"/>
        <v>21133.333333333285</v>
      </c>
      <c r="T226" s="18">
        <f t="shared" si="473"/>
        <v>24086.66666666673</v>
      </c>
      <c r="U226" s="18">
        <f t="shared" si="474"/>
        <v>27631.413333333352</v>
      </c>
      <c r="V226" s="18">
        <f t="shared" si="475"/>
        <v>34588.800000000076</v>
      </c>
      <c r="W226" s="18">
        <f t="shared" si="476"/>
        <v>43428.160000000149</v>
      </c>
      <c r="X226" s="18">
        <f t="shared" si="477"/>
        <v>51127.199999999924</v>
      </c>
      <c r="Y226" s="18">
        <f t="shared" si="478"/>
        <v>52533.333333333459</v>
      </c>
      <c r="Z226" s="18">
        <f t="shared" si="478"/>
        <v>42165.333333333416</v>
      </c>
      <c r="AA226" s="18">
        <f t="shared" ref="AA226:AB226" si="644">AA225+(AA$234-AA$174)/60</f>
        <v>50250.666666666541</v>
      </c>
      <c r="AB226" s="18">
        <f t="shared" si="644"/>
        <v>63712</v>
      </c>
      <c r="AC226" s="18">
        <f t="shared" si="477"/>
        <v>13560</v>
      </c>
      <c r="AD226" s="18">
        <f t="shared" ref="AD226:AR226" si="645">AD225+(AD$234-AD$174)/60</f>
        <v>17226.66666666665</v>
      </c>
      <c r="AE226" s="18">
        <f t="shared" si="645"/>
        <v>20013.33333333331</v>
      </c>
      <c r="AF226" s="18">
        <f t="shared" si="645"/>
        <v>23200</v>
      </c>
      <c r="AG226" s="18">
        <f t="shared" si="645"/>
        <v>28706.66666666673</v>
      </c>
      <c r="AH226" s="18">
        <f t="shared" ref="AH226:AK226" si="646">AH225+(AH$234-AH$174)/60</f>
        <v>18253.333333333328</v>
      </c>
      <c r="AI226" s="18">
        <f t="shared" si="646"/>
        <v>21733.333333333292</v>
      </c>
      <c r="AJ226" s="18">
        <f t="shared" si="646"/>
        <v>24400</v>
      </c>
      <c r="AK226" s="18">
        <f t="shared" si="646"/>
        <v>28200</v>
      </c>
      <c r="AL226" s="18">
        <f t="shared" si="645"/>
        <v>22000</v>
      </c>
      <c r="AM226" s="18">
        <f t="shared" si="645"/>
        <v>25000</v>
      </c>
      <c r="AN226" s="18">
        <f t="shared" si="645"/>
        <v>28600</v>
      </c>
      <c r="AO226" s="18">
        <f t="shared" si="645"/>
        <v>45000</v>
      </c>
      <c r="AP226" s="18">
        <f t="shared" si="645"/>
        <v>48000</v>
      </c>
      <c r="AQ226" s="18">
        <f t="shared" si="645"/>
        <v>54000</v>
      </c>
      <c r="AR226" s="18">
        <f t="shared" si="645"/>
        <v>147200</v>
      </c>
      <c r="AS226" s="18">
        <f t="shared" si="566"/>
        <v>11086.956521739132</v>
      </c>
      <c r="AT226" s="184" t="str">
        <f t="shared" si="570"/>
        <v/>
      </c>
      <c r="AU226" s="184" t="str">
        <f t="shared" si="571"/>
        <v/>
      </c>
      <c r="AV226" s="184" t="str">
        <f t="shared" si="572"/>
        <v/>
      </c>
      <c r="AW226" s="184" t="str">
        <f t="shared" si="573"/>
        <v/>
      </c>
      <c r="AX226" s="184" t="str">
        <f t="shared" si="574"/>
        <v/>
      </c>
      <c r="AY226" s="184" t="str">
        <f t="shared" si="575"/>
        <v/>
      </c>
      <c r="AZ226" s="184" t="str">
        <f t="shared" si="576"/>
        <v/>
      </c>
      <c r="BA226" s="184" t="str">
        <f t="shared" si="577"/>
        <v/>
      </c>
      <c r="BB226" s="184" t="str">
        <f t="shared" si="578"/>
        <v/>
      </c>
      <c r="BC226" s="184" t="str">
        <f t="shared" si="579"/>
        <v/>
      </c>
      <c r="BD226" s="184" t="str">
        <f t="shared" si="580"/>
        <v/>
      </c>
      <c r="BE226" s="184" t="str">
        <f t="shared" si="581"/>
        <v/>
      </c>
      <c r="BF226" s="184" t="str">
        <f t="shared" si="582"/>
        <v/>
      </c>
      <c r="BG226" s="184" t="str">
        <f t="shared" si="583"/>
        <v/>
      </c>
      <c r="BH226" s="184" t="str">
        <f t="shared" si="584"/>
        <v/>
      </c>
      <c r="BI226" s="184" t="str">
        <f t="shared" si="585"/>
        <v/>
      </c>
      <c r="BJ226" s="184" t="str">
        <f t="shared" si="586"/>
        <v/>
      </c>
      <c r="BK226" s="184" t="str">
        <f t="shared" si="587"/>
        <v/>
      </c>
      <c r="BL226" s="184" t="str">
        <f t="shared" si="588"/>
        <v/>
      </c>
      <c r="BM226" s="184" t="str">
        <f t="shared" si="589"/>
        <v/>
      </c>
      <c r="BN226" s="184" t="str">
        <f t="shared" si="590"/>
        <v/>
      </c>
      <c r="BO226" s="184" t="str">
        <f t="shared" si="591"/>
        <v/>
      </c>
      <c r="BP226" s="184" t="str">
        <f t="shared" si="592"/>
        <v/>
      </c>
      <c r="BQ226" s="184" t="str">
        <f t="shared" si="593"/>
        <v/>
      </c>
      <c r="BR226" s="184" t="str">
        <f t="shared" si="594"/>
        <v/>
      </c>
      <c r="BS226" s="184" t="str">
        <f t="shared" si="594"/>
        <v/>
      </c>
      <c r="BT226" s="184" t="str">
        <f t="shared" si="594"/>
        <v/>
      </c>
      <c r="BU226" s="184" t="str">
        <f t="shared" si="595"/>
        <v/>
      </c>
      <c r="BV226" s="184" t="str">
        <f t="shared" si="596"/>
        <v/>
      </c>
      <c r="BW226" s="184" t="str">
        <f t="shared" si="597"/>
        <v/>
      </c>
      <c r="BX226" s="184" t="str">
        <f t="shared" si="598"/>
        <v/>
      </c>
      <c r="BY226" s="184" t="str">
        <f t="shared" si="599"/>
        <v/>
      </c>
      <c r="BZ226" s="184" t="str">
        <f t="shared" si="600"/>
        <v/>
      </c>
      <c r="CA226" s="184" t="str">
        <f t="shared" si="601"/>
        <v/>
      </c>
      <c r="CB226" s="184" t="str">
        <f t="shared" si="602"/>
        <v/>
      </c>
      <c r="CC226" s="184" t="str">
        <f t="shared" si="603"/>
        <v/>
      </c>
      <c r="CD226" s="184" t="str">
        <f t="shared" si="604"/>
        <v/>
      </c>
      <c r="CE226" s="184" t="str">
        <f t="shared" si="605"/>
        <v/>
      </c>
      <c r="CF226" s="184" t="str">
        <f t="shared" si="606"/>
        <v/>
      </c>
      <c r="CG226" s="184" t="str">
        <f t="shared" si="607"/>
        <v/>
      </c>
      <c r="CH226" s="184" t="str">
        <f t="shared" si="608"/>
        <v/>
      </c>
      <c r="CI226" s="184" t="str">
        <f t="shared" si="609"/>
        <v/>
      </c>
      <c r="CJ226" s="184" t="str">
        <f t="shared" si="610"/>
        <v/>
      </c>
      <c r="CK226" s="184"/>
      <c r="CM226" s="184"/>
      <c r="CN226"/>
      <c r="CP226"/>
      <c r="CR226"/>
      <c r="CT226"/>
      <c r="CV226"/>
      <c r="CX226"/>
      <c r="CZ226"/>
      <c r="DB226"/>
      <c r="DD226"/>
      <c r="DF226"/>
      <c r="ED226" s="184"/>
      <c r="EF226" s="184"/>
      <c r="EH226" s="184"/>
      <c r="EJ226" s="184"/>
      <c r="EL226" s="184"/>
      <c r="EN226" s="184"/>
      <c r="EP226" s="184"/>
      <c r="ER226" s="184"/>
      <c r="ET226" s="184"/>
      <c r="EV226" s="184"/>
      <c r="EX226" s="184"/>
      <c r="EZ226" s="184"/>
      <c r="FB226" s="184"/>
    </row>
    <row r="227" spans="1:158">
      <c r="A227" s="184">
        <f t="shared" si="368"/>
        <v>43.5</v>
      </c>
      <c r="B227" s="18">
        <f t="shared" si="405"/>
        <v>10410</v>
      </c>
      <c r="C227" s="18">
        <f t="shared" si="482"/>
        <v>13063.333333333301</v>
      </c>
      <c r="D227" s="18">
        <f t="shared" si="483"/>
        <v>17288.333333333318</v>
      </c>
      <c r="E227" s="18">
        <f t="shared" si="458"/>
        <v>20608.333333333354</v>
      </c>
      <c r="F227" s="18">
        <f t="shared" si="459"/>
        <v>10351.666666666675</v>
      </c>
      <c r="G227" s="18">
        <f t="shared" si="460"/>
        <v>12981.666666666699</v>
      </c>
      <c r="H227" s="18">
        <f t="shared" si="461"/>
        <v>17300</v>
      </c>
      <c r="I227" s="18">
        <f t="shared" si="462"/>
        <v>10398.333333333321</v>
      </c>
      <c r="J227" s="18">
        <f t="shared" si="463"/>
        <v>13746.666666666699</v>
      </c>
      <c r="K227" s="18">
        <f t="shared" si="464"/>
        <v>17218.333333333314</v>
      </c>
      <c r="L227" s="18">
        <f t="shared" si="465"/>
        <v>20643.333333333358</v>
      </c>
      <c r="M227" s="18">
        <f t="shared" si="466"/>
        <v>26246.666666666606</v>
      </c>
      <c r="N227" s="18">
        <f t="shared" si="467"/>
        <v>13715</v>
      </c>
      <c r="O227" s="18">
        <f t="shared" si="468"/>
        <v>17388.333333333318</v>
      </c>
      <c r="P227" s="18">
        <f t="shared" si="469"/>
        <v>20375</v>
      </c>
      <c r="Q227" s="18">
        <f t="shared" si="470"/>
        <v>24206.666666666602</v>
      </c>
      <c r="R227" s="18">
        <f t="shared" si="471"/>
        <v>35465</v>
      </c>
      <c r="S227" s="18">
        <f t="shared" si="472"/>
        <v>21241.666666666617</v>
      </c>
      <c r="T227" s="18">
        <f t="shared" si="473"/>
        <v>24200.833333333398</v>
      </c>
      <c r="U227" s="18">
        <f t="shared" si="474"/>
        <v>27752.486666666686</v>
      </c>
      <c r="V227" s="18">
        <f t="shared" si="475"/>
        <v>34765.200000000077</v>
      </c>
      <c r="W227" s="18">
        <f t="shared" si="476"/>
        <v>43649.640000000152</v>
      </c>
      <c r="X227" s="18">
        <f t="shared" si="477"/>
        <v>51486.299999999923</v>
      </c>
      <c r="Y227" s="18">
        <f t="shared" si="478"/>
        <v>52716.666666666795</v>
      </c>
      <c r="Z227" s="18">
        <f t="shared" si="478"/>
        <v>42394.666666666752</v>
      </c>
      <c r="AA227" s="18">
        <f t="shared" ref="AA227:AB227" si="647">AA226+(AA$234-AA$174)/60</f>
        <v>50469.333333333205</v>
      </c>
      <c r="AB227" s="18">
        <f t="shared" si="647"/>
        <v>63998</v>
      </c>
      <c r="AC227" s="18">
        <f t="shared" si="477"/>
        <v>13615</v>
      </c>
      <c r="AD227" s="18">
        <f t="shared" ref="AD227:AR227" si="648">AD226+(AD$234-AD$174)/60</f>
        <v>17323.333333333318</v>
      </c>
      <c r="AE227" s="18">
        <f t="shared" si="648"/>
        <v>20136.666666666642</v>
      </c>
      <c r="AF227" s="18">
        <f t="shared" si="648"/>
        <v>23300</v>
      </c>
      <c r="AG227" s="18">
        <f t="shared" si="648"/>
        <v>28868.333333333398</v>
      </c>
      <c r="AH227" s="18">
        <f t="shared" ref="AH227:AK227" si="649">AH226+(AH$234-AH$174)/60</f>
        <v>18346.666666666661</v>
      </c>
      <c r="AI227" s="18">
        <f t="shared" si="649"/>
        <v>21866.666666666624</v>
      </c>
      <c r="AJ227" s="18">
        <f t="shared" si="649"/>
        <v>24475</v>
      </c>
      <c r="AK227" s="18">
        <f t="shared" si="649"/>
        <v>28300</v>
      </c>
      <c r="AL227" s="18">
        <f t="shared" si="648"/>
        <v>22000</v>
      </c>
      <c r="AM227" s="18">
        <f t="shared" si="648"/>
        <v>25000</v>
      </c>
      <c r="AN227" s="18">
        <f t="shared" si="648"/>
        <v>28600</v>
      </c>
      <c r="AO227" s="18">
        <f t="shared" si="648"/>
        <v>45000</v>
      </c>
      <c r="AP227" s="18">
        <f t="shared" si="648"/>
        <v>48000</v>
      </c>
      <c r="AQ227" s="18">
        <f t="shared" si="648"/>
        <v>54000</v>
      </c>
      <c r="AR227" s="18">
        <f t="shared" si="648"/>
        <v>147200</v>
      </c>
      <c r="AS227" s="18">
        <f t="shared" si="566"/>
        <v>10760.869565217392</v>
      </c>
      <c r="AT227" s="184" t="str">
        <f t="shared" si="570"/>
        <v/>
      </c>
      <c r="AU227" s="184" t="str">
        <f t="shared" si="571"/>
        <v/>
      </c>
      <c r="AV227" s="184" t="str">
        <f t="shared" si="572"/>
        <v/>
      </c>
      <c r="AW227" s="184" t="str">
        <f t="shared" si="573"/>
        <v/>
      </c>
      <c r="AX227" s="184" t="str">
        <f t="shared" si="574"/>
        <v/>
      </c>
      <c r="AY227" s="184" t="str">
        <f t="shared" si="575"/>
        <v/>
      </c>
      <c r="AZ227" s="184" t="str">
        <f t="shared" si="576"/>
        <v/>
      </c>
      <c r="BA227" s="184" t="str">
        <f t="shared" si="577"/>
        <v/>
      </c>
      <c r="BB227" s="184" t="str">
        <f t="shared" si="578"/>
        <v/>
      </c>
      <c r="BC227" s="184" t="str">
        <f t="shared" si="579"/>
        <v/>
      </c>
      <c r="BD227" s="184" t="str">
        <f t="shared" si="580"/>
        <v/>
      </c>
      <c r="BE227" s="184" t="str">
        <f t="shared" si="581"/>
        <v/>
      </c>
      <c r="BF227" s="184" t="str">
        <f t="shared" si="582"/>
        <v/>
      </c>
      <c r="BG227" s="184" t="str">
        <f t="shared" si="583"/>
        <v/>
      </c>
      <c r="BH227" s="184" t="str">
        <f t="shared" si="584"/>
        <v/>
      </c>
      <c r="BI227" s="184" t="str">
        <f t="shared" si="585"/>
        <v/>
      </c>
      <c r="BJ227" s="184" t="str">
        <f t="shared" si="586"/>
        <v/>
      </c>
      <c r="BK227" s="184" t="str">
        <f t="shared" si="587"/>
        <v/>
      </c>
      <c r="BL227" s="184" t="str">
        <f t="shared" si="588"/>
        <v/>
      </c>
      <c r="BM227" s="184" t="str">
        <f t="shared" si="589"/>
        <v/>
      </c>
      <c r="BN227" s="184" t="str">
        <f t="shared" si="590"/>
        <v/>
      </c>
      <c r="BO227" s="184" t="str">
        <f t="shared" si="591"/>
        <v/>
      </c>
      <c r="BP227" s="184" t="str">
        <f t="shared" si="592"/>
        <v/>
      </c>
      <c r="BQ227" s="184" t="str">
        <f t="shared" si="593"/>
        <v/>
      </c>
      <c r="BR227" s="184" t="str">
        <f t="shared" si="594"/>
        <v/>
      </c>
      <c r="BS227" s="184" t="str">
        <f t="shared" si="594"/>
        <v/>
      </c>
      <c r="BT227" s="184" t="str">
        <f t="shared" si="594"/>
        <v/>
      </c>
      <c r="BU227" s="184" t="str">
        <f t="shared" si="595"/>
        <v/>
      </c>
      <c r="BV227" s="184" t="str">
        <f t="shared" si="596"/>
        <v/>
      </c>
      <c r="BW227" s="184" t="str">
        <f t="shared" si="597"/>
        <v/>
      </c>
      <c r="BX227" s="184" t="str">
        <f t="shared" si="598"/>
        <v/>
      </c>
      <c r="BY227" s="184" t="str">
        <f t="shared" si="599"/>
        <v/>
      </c>
      <c r="BZ227" s="184" t="str">
        <f t="shared" si="600"/>
        <v/>
      </c>
      <c r="CA227" s="184" t="str">
        <f t="shared" si="601"/>
        <v/>
      </c>
      <c r="CB227" s="184" t="str">
        <f t="shared" si="602"/>
        <v/>
      </c>
      <c r="CC227" s="184" t="str">
        <f t="shared" si="603"/>
        <v/>
      </c>
      <c r="CD227" s="184" t="str">
        <f t="shared" si="604"/>
        <v/>
      </c>
      <c r="CE227" s="184" t="str">
        <f t="shared" si="605"/>
        <v/>
      </c>
      <c r="CF227" s="184" t="str">
        <f t="shared" si="606"/>
        <v/>
      </c>
      <c r="CG227" s="184" t="str">
        <f t="shared" si="607"/>
        <v/>
      </c>
      <c r="CH227" s="184" t="str">
        <f t="shared" si="608"/>
        <v/>
      </c>
      <c r="CI227" s="184" t="str">
        <f t="shared" si="609"/>
        <v/>
      </c>
      <c r="CJ227" s="184" t="str">
        <f t="shared" si="610"/>
        <v/>
      </c>
      <c r="CK227" s="184"/>
      <c r="CM227" s="184"/>
      <c r="CN227"/>
      <c r="CP227"/>
      <c r="CR227"/>
      <c r="CT227"/>
      <c r="CV227"/>
      <c r="CX227"/>
      <c r="CZ227"/>
      <c r="DB227"/>
      <c r="DD227"/>
      <c r="DF227"/>
      <c r="ED227" s="184"/>
      <c r="EF227" s="184"/>
      <c r="EH227" s="184"/>
      <c r="EJ227" s="184"/>
      <c r="EL227" s="184"/>
      <c r="EN227" s="184"/>
      <c r="EP227" s="184"/>
      <c r="ER227" s="184"/>
      <c r="ET227" s="184"/>
      <c r="EV227" s="184"/>
      <c r="EX227" s="184"/>
      <c r="EZ227" s="184"/>
      <c r="FB227" s="184"/>
    </row>
    <row r="228" spans="1:158">
      <c r="A228" s="184">
        <f t="shared" si="368"/>
        <v>44</v>
      </c>
      <c r="B228" s="18">
        <f t="shared" si="405"/>
        <v>10480</v>
      </c>
      <c r="C228" s="18">
        <f t="shared" si="482"/>
        <v>13139.999999999967</v>
      </c>
      <c r="D228" s="18">
        <f t="shared" si="483"/>
        <v>17389.999999999985</v>
      </c>
      <c r="E228" s="18">
        <f t="shared" si="458"/>
        <v>20750.000000000022</v>
      </c>
      <c r="F228" s="18">
        <f t="shared" si="459"/>
        <v>10430.000000000009</v>
      </c>
      <c r="G228" s="18">
        <f t="shared" si="460"/>
        <v>13070.000000000033</v>
      </c>
      <c r="H228" s="18">
        <f t="shared" si="461"/>
        <v>17400</v>
      </c>
      <c r="I228" s="18">
        <f t="shared" si="462"/>
        <v>10469.999999999987</v>
      </c>
      <c r="J228" s="18">
        <f t="shared" si="463"/>
        <v>13840.000000000033</v>
      </c>
      <c r="K228" s="18">
        <f t="shared" si="464"/>
        <v>17329.999999999982</v>
      </c>
      <c r="L228" s="18">
        <f t="shared" si="465"/>
        <v>20780.000000000025</v>
      </c>
      <c r="M228" s="18">
        <f t="shared" si="466"/>
        <v>26439.999999999938</v>
      </c>
      <c r="N228" s="18">
        <f t="shared" si="467"/>
        <v>13770</v>
      </c>
      <c r="O228" s="18">
        <f t="shared" si="468"/>
        <v>17489.999999999985</v>
      </c>
      <c r="P228" s="18">
        <f t="shared" si="469"/>
        <v>20450</v>
      </c>
      <c r="Q228" s="18">
        <f t="shared" si="470"/>
        <v>24319.999999999935</v>
      </c>
      <c r="R228" s="18">
        <f t="shared" si="471"/>
        <v>35670</v>
      </c>
      <c r="S228" s="18">
        <f t="shared" si="472"/>
        <v>21349.999999999949</v>
      </c>
      <c r="T228" s="18">
        <f t="shared" si="473"/>
        <v>24315.000000000065</v>
      </c>
      <c r="U228" s="18">
        <f t="shared" si="474"/>
        <v>27873.560000000019</v>
      </c>
      <c r="V228" s="18">
        <f t="shared" si="475"/>
        <v>34941.600000000079</v>
      </c>
      <c r="W228" s="18">
        <f t="shared" si="476"/>
        <v>43871.120000000155</v>
      </c>
      <c r="X228" s="18">
        <f t="shared" si="477"/>
        <v>51845.399999999921</v>
      </c>
      <c r="Y228" s="18">
        <f t="shared" si="478"/>
        <v>52900.000000000131</v>
      </c>
      <c r="Z228" s="18">
        <f t="shared" si="478"/>
        <v>42624.000000000087</v>
      </c>
      <c r="AA228" s="18">
        <f t="shared" ref="AA228:AB228" si="650">AA227+(AA$234-AA$174)/60</f>
        <v>50687.999999999869</v>
      </c>
      <c r="AB228" s="18">
        <f t="shared" si="650"/>
        <v>64284</v>
      </c>
      <c r="AC228" s="18">
        <f t="shared" si="477"/>
        <v>13670</v>
      </c>
      <c r="AD228" s="18">
        <f t="shared" ref="AD228:AR228" si="651">AD227+(AD$234-AD$174)/60</f>
        <v>17419.999999999985</v>
      </c>
      <c r="AE228" s="18">
        <f t="shared" si="651"/>
        <v>20259.999999999975</v>
      </c>
      <c r="AF228" s="18">
        <f t="shared" si="651"/>
        <v>23400</v>
      </c>
      <c r="AG228" s="18">
        <f t="shared" si="651"/>
        <v>29030.000000000065</v>
      </c>
      <c r="AH228" s="18">
        <f t="shared" ref="AH228:AK228" si="652">AH227+(AH$234-AH$174)/60</f>
        <v>18439.999999999993</v>
      </c>
      <c r="AI228" s="18">
        <f t="shared" si="652"/>
        <v>21999.999999999956</v>
      </c>
      <c r="AJ228" s="18">
        <f t="shared" si="652"/>
        <v>24550</v>
      </c>
      <c r="AK228" s="18">
        <f t="shared" si="652"/>
        <v>28400</v>
      </c>
      <c r="AL228" s="18">
        <f t="shared" si="651"/>
        <v>22000</v>
      </c>
      <c r="AM228" s="18">
        <f t="shared" si="651"/>
        <v>25000</v>
      </c>
      <c r="AN228" s="18">
        <f t="shared" si="651"/>
        <v>28600</v>
      </c>
      <c r="AO228" s="18">
        <f t="shared" si="651"/>
        <v>45000</v>
      </c>
      <c r="AP228" s="18">
        <f t="shared" si="651"/>
        <v>48000</v>
      </c>
      <c r="AQ228" s="18">
        <f t="shared" si="651"/>
        <v>54000</v>
      </c>
      <c r="AR228" s="18">
        <f t="shared" si="651"/>
        <v>147200</v>
      </c>
      <c r="AS228" s="18">
        <f t="shared" si="566"/>
        <v>10434.782608695652</v>
      </c>
      <c r="AT228" s="184">
        <f t="shared" si="570"/>
        <v>1</v>
      </c>
      <c r="AU228" s="184" t="str">
        <f t="shared" si="571"/>
        <v/>
      </c>
      <c r="AV228" s="184" t="str">
        <f t="shared" si="572"/>
        <v/>
      </c>
      <c r="AW228" s="184" t="str">
        <f t="shared" si="573"/>
        <v/>
      </c>
      <c r="AX228" s="184" t="str">
        <f t="shared" si="574"/>
        <v/>
      </c>
      <c r="AY228" s="184" t="str">
        <f t="shared" si="575"/>
        <v/>
      </c>
      <c r="AZ228" s="184" t="str">
        <f t="shared" si="576"/>
        <v/>
      </c>
      <c r="BA228" s="184">
        <f t="shared" si="577"/>
        <v>1</v>
      </c>
      <c r="BB228" s="184" t="str">
        <f t="shared" si="578"/>
        <v/>
      </c>
      <c r="BC228" s="184" t="str">
        <f t="shared" si="579"/>
        <v/>
      </c>
      <c r="BD228" s="184" t="str">
        <f t="shared" si="580"/>
        <v/>
      </c>
      <c r="BE228" s="184" t="str">
        <f t="shared" si="581"/>
        <v/>
      </c>
      <c r="BF228" s="184" t="str">
        <f t="shared" si="582"/>
        <v/>
      </c>
      <c r="BG228" s="184" t="str">
        <f t="shared" si="583"/>
        <v/>
      </c>
      <c r="BH228" s="184" t="str">
        <f t="shared" si="584"/>
        <v/>
      </c>
      <c r="BI228" s="184" t="str">
        <f t="shared" si="585"/>
        <v/>
      </c>
      <c r="BJ228" s="184" t="str">
        <f t="shared" si="586"/>
        <v/>
      </c>
      <c r="BK228" s="184" t="str">
        <f t="shared" si="587"/>
        <v/>
      </c>
      <c r="BL228" s="184" t="str">
        <f t="shared" si="588"/>
        <v/>
      </c>
      <c r="BM228" s="184" t="str">
        <f t="shared" si="589"/>
        <v/>
      </c>
      <c r="BN228" s="184" t="str">
        <f t="shared" si="590"/>
        <v/>
      </c>
      <c r="BO228" s="184" t="str">
        <f t="shared" si="591"/>
        <v/>
      </c>
      <c r="BP228" s="184" t="str">
        <f t="shared" si="592"/>
        <v/>
      </c>
      <c r="BQ228" s="184" t="str">
        <f t="shared" si="593"/>
        <v/>
      </c>
      <c r="BR228" s="184" t="str">
        <f t="shared" si="594"/>
        <v/>
      </c>
      <c r="BS228" s="184" t="str">
        <f t="shared" si="594"/>
        <v/>
      </c>
      <c r="BT228" s="184" t="str">
        <f t="shared" si="594"/>
        <v/>
      </c>
      <c r="BU228" s="184" t="str">
        <f t="shared" si="595"/>
        <v/>
      </c>
      <c r="BV228" s="184" t="str">
        <f t="shared" si="596"/>
        <v/>
      </c>
      <c r="BW228" s="184" t="str">
        <f t="shared" si="597"/>
        <v/>
      </c>
      <c r="BX228" s="184" t="str">
        <f t="shared" si="598"/>
        <v/>
      </c>
      <c r="BY228" s="184" t="str">
        <f t="shared" si="599"/>
        <v/>
      </c>
      <c r="BZ228" s="184" t="str">
        <f t="shared" si="600"/>
        <v/>
      </c>
      <c r="CA228" s="184" t="str">
        <f t="shared" si="601"/>
        <v/>
      </c>
      <c r="CB228" s="184" t="str">
        <f t="shared" si="602"/>
        <v/>
      </c>
      <c r="CC228" s="184" t="str">
        <f t="shared" si="603"/>
        <v/>
      </c>
      <c r="CD228" s="184" t="str">
        <f t="shared" si="604"/>
        <v/>
      </c>
      <c r="CE228" s="184" t="str">
        <f t="shared" si="605"/>
        <v/>
      </c>
      <c r="CF228" s="184" t="str">
        <f t="shared" si="606"/>
        <v/>
      </c>
      <c r="CG228" s="184" t="str">
        <f t="shared" si="607"/>
        <v/>
      </c>
      <c r="CH228" s="184" t="str">
        <f t="shared" si="608"/>
        <v/>
      </c>
      <c r="CI228" s="184" t="str">
        <f t="shared" si="609"/>
        <v/>
      </c>
      <c r="CJ228" s="184" t="str">
        <f t="shared" si="610"/>
        <v/>
      </c>
      <c r="CK228" s="184"/>
      <c r="CM228" s="184"/>
      <c r="CN228"/>
      <c r="CP228"/>
      <c r="CR228"/>
      <c r="CT228"/>
      <c r="CV228"/>
      <c r="CX228"/>
      <c r="CZ228"/>
      <c r="DB228"/>
      <c r="DD228"/>
      <c r="DF228"/>
      <c r="ED228" s="184"/>
      <c r="EF228" s="184"/>
      <c r="EH228" s="184"/>
      <c r="EJ228" s="184"/>
      <c r="EL228" s="184"/>
      <c r="EN228" s="184"/>
      <c r="EP228" s="184"/>
      <c r="ER228" s="184"/>
      <c r="ET228" s="184"/>
      <c r="EV228" s="184"/>
      <c r="EX228" s="184"/>
      <c r="EZ228" s="184"/>
      <c r="FB228" s="184"/>
    </row>
    <row r="229" spans="1:158">
      <c r="A229" s="184">
        <f t="shared" ref="A229:A258" si="653">A228+0.5</f>
        <v>44.5</v>
      </c>
      <c r="B229" s="18">
        <f t="shared" si="405"/>
        <v>10550</v>
      </c>
      <c r="C229" s="18">
        <f t="shared" si="482"/>
        <v>13216.666666666633</v>
      </c>
      <c r="D229" s="18">
        <f t="shared" si="483"/>
        <v>17491.666666666653</v>
      </c>
      <c r="E229" s="18">
        <f t="shared" si="458"/>
        <v>20891.66666666669</v>
      </c>
      <c r="F229" s="18">
        <f t="shared" si="459"/>
        <v>10508.333333333343</v>
      </c>
      <c r="G229" s="18">
        <f t="shared" si="460"/>
        <v>13158.333333333367</v>
      </c>
      <c r="H229" s="18">
        <f t="shared" si="461"/>
        <v>17500</v>
      </c>
      <c r="I229" s="18">
        <f t="shared" si="462"/>
        <v>10541.666666666653</v>
      </c>
      <c r="J229" s="18">
        <f t="shared" si="463"/>
        <v>13933.333333333367</v>
      </c>
      <c r="K229" s="18">
        <f t="shared" si="464"/>
        <v>17441.66666666665</v>
      </c>
      <c r="L229" s="18">
        <f t="shared" si="465"/>
        <v>20916.666666666693</v>
      </c>
      <c r="M229" s="18">
        <f t="shared" si="466"/>
        <v>26633.33333333327</v>
      </c>
      <c r="N229" s="18">
        <f t="shared" si="467"/>
        <v>13825</v>
      </c>
      <c r="O229" s="18">
        <f t="shared" si="468"/>
        <v>17591.666666666653</v>
      </c>
      <c r="P229" s="18">
        <f t="shared" si="469"/>
        <v>20525</v>
      </c>
      <c r="Q229" s="18">
        <f t="shared" si="470"/>
        <v>24433.333333333267</v>
      </c>
      <c r="R229" s="18">
        <f t="shared" si="471"/>
        <v>35875</v>
      </c>
      <c r="S229" s="18">
        <f t="shared" si="472"/>
        <v>21458.333333333281</v>
      </c>
      <c r="T229" s="18">
        <f t="shared" si="473"/>
        <v>24429.166666666733</v>
      </c>
      <c r="U229" s="18">
        <f t="shared" si="474"/>
        <v>27994.633333333353</v>
      </c>
      <c r="V229" s="18">
        <f t="shared" si="475"/>
        <v>35118.00000000008</v>
      </c>
      <c r="W229" s="18">
        <f t="shared" si="476"/>
        <v>44092.600000000159</v>
      </c>
      <c r="X229" s="18">
        <f t="shared" si="477"/>
        <v>52204.49999999992</v>
      </c>
      <c r="Y229" s="18">
        <f t="shared" si="478"/>
        <v>53083.333333333467</v>
      </c>
      <c r="Z229" s="18">
        <f t="shared" si="478"/>
        <v>42853.333333333423</v>
      </c>
      <c r="AA229" s="18">
        <f t="shared" ref="AA229:AB229" si="654">AA228+(AA$234-AA$174)/60</f>
        <v>50906.666666666533</v>
      </c>
      <c r="AB229" s="18">
        <f t="shared" si="654"/>
        <v>64570</v>
      </c>
      <c r="AC229" s="18">
        <f t="shared" si="477"/>
        <v>13725</v>
      </c>
      <c r="AD229" s="18">
        <f t="shared" ref="AD229:AR229" si="655">AD228+(AD$234-AD$174)/60</f>
        <v>17516.666666666653</v>
      </c>
      <c r="AE229" s="18">
        <f t="shared" si="655"/>
        <v>20383.333333333307</v>
      </c>
      <c r="AF229" s="18">
        <f t="shared" si="655"/>
        <v>23500</v>
      </c>
      <c r="AG229" s="18">
        <f t="shared" si="655"/>
        <v>29191.666666666733</v>
      </c>
      <c r="AH229" s="18">
        <f t="shared" ref="AH229:AK229" si="656">AH228+(AH$234-AH$174)/60</f>
        <v>18533.333333333325</v>
      </c>
      <c r="AI229" s="18">
        <f t="shared" si="656"/>
        <v>22133.333333333288</v>
      </c>
      <c r="AJ229" s="18">
        <f t="shared" si="656"/>
        <v>24625</v>
      </c>
      <c r="AK229" s="18">
        <f t="shared" si="656"/>
        <v>28500</v>
      </c>
      <c r="AL229" s="18">
        <f t="shared" si="655"/>
        <v>22000</v>
      </c>
      <c r="AM229" s="18">
        <f t="shared" si="655"/>
        <v>25000</v>
      </c>
      <c r="AN229" s="18">
        <f t="shared" si="655"/>
        <v>28600</v>
      </c>
      <c r="AO229" s="18">
        <f t="shared" si="655"/>
        <v>45000</v>
      </c>
      <c r="AP229" s="18">
        <f t="shared" si="655"/>
        <v>48000</v>
      </c>
      <c r="AQ229" s="18">
        <f t="shared" si="655"/>
        <v>54000</v>
      </c>
      <c r="AR229" s="18">
        <f t="shared" si="655"/>
        <v>147200</v>
      </c>
      <c r="AS229" s="18">
        <f t="shared" si="566"/>
        <v>10108.695652173912</v>
      </c>
      <c r="AT229" s="184" t="str">
        <f t="shared" si="570"/>
        <v/>
      </c>
      <c r="AU229" s="184" t="str">
        <f t="shared" si="571"/>
        <v/>
      </c>
      <c r="AV229" s="184" t="str">
        <f t="shared" si="572"/>
        <v/>
      </c>
      <c r="AW229" s="184" t="str">
        <f t="shared" si="573"/>
        <v/>
      </c>
      <c r="AX229" s="184">
        <f t="shared" si="574"/>
        <v>1</v>
      </c>
      <c r="AY229" s="184" t="str">
        <f t="shared" si="575"/>
        <v/>
      </c>
      <c r="AZ229" s="184" t="str">
        <f t="shared" si="576"/>
        <v/>
      </c>
      <c r="BA229" s="184" t="str">
        <f t="shared" si="577"/>
        <v/>
      </c>
      <c r="BB229" s="184" t="str">
        <f t="shared" si="578"/>
        <v/>
      </c>
      <c r="BC229" s="184" t="str">
        <f t="shared" si="579"/>
        <v/>
      </c>
      <c r="BD229" s="184" t="str">
        <f t="shared" si="580"/>
        <v/>
      </c>
      <c r="BE229" s="184" t="str">
        <f t="shared" si="581"/>
        <v/>
      </c>
      <c r="BF229" s="184" t="str">
        <f t="shared" si="582"/>
        <v/>
      </c>
      <c r="BG229" s="184" t="str">
        <f t="shared" si="583"/>
        <v/>
      </c>
      <c r="BH229" s="184" t="str">
        <f t="shared" si="584"/>
        <v/>
      </c>
      <c r="BI229" s="184" t="str">
        <f t="shared" si="585"/>
        <v/>
      </c>
      <c r="BJ229" s="184" t="str">
        <f t="shared" si="586"/>
        <v/>
      </c>
      <c r="BK229" s="184" t="str">
        <f t="shared" si="587"/>
        <v/>
      </c>
      <c r="BL229" s="184" t="str">
        <f t="shared" si="588"/>
        <v/>
      </c>
      <c r="BM229" s="184" t="str">
        <f t="shared" si="589"/>
        <v/>
      </c>
      <c r="BN229" s="184" t="str">
        <f t="shared" si="590"/>
        <v/>
      </c>
      <c r="BO229" s="184" t="str">
        <f t="shared" si="591"/>
        <v/>
      </c>
      <c r="BP229" s="184" t="str">
        <f t="shared" si="592"/>
        <v/>
      </c>
      <c r="BQ229" s="184" t="str">
        <f t="shared" si="593"/>
        <v/>
      </c>
      <c r="BR229" s="184" t="str">
        <f t="shared" si="594"/>
        <v/>
      </c>
      <c r="BS229" s="184" t="str">
        <f t="shared" si="594"/>
        <v/>
      </c>
      <c r="BT229" s="184" t="str">
        <f t="shared" si="594"/>
        <v/>
      </c>
      <c r="BU229" s="184" t="str">
        <f t="shared" si="595"/>
        <v/>
      </c>
      <c r="BV229" s="184" t="str">
        <f t="shared" si="596"/>
        <v/>
      </c>
      <c r="BW229" s="184" t="str">
        <f t="shared" si="597"/>
        <v/>
      </c>
      <c r="BX229" s="184" t="str">
        <f t="shared" si="598"/>
        <v/>
      </c>
      <c r="BY229" s="184" t="str">
        <f t="shared" si="599"/>
        <v/>
      </c>
      <c r="BZ229" s="184" t="str">
        <f t="shared" si="600"/>
        <v/>
      </c>
      <c r="CA229" s="184" t="str">
        <f t="shared" si="601"/>
        <v/>
      </c>
      <c r="CB229" s="184" t="str">
        <f t="shared" si="602"/>
        <v/>
      </c>
      <c r="CC229" s="184" t="str">
        <f t="shared" si="603"/>
        <v/>
      </c>
      <c r="CD229" s="184" t="str">
        <f t="shared" si="604"/>
        <v/>
      </c>
      <c r="CE229" s="184" t="str">
        <f t="shared" si="605"/>
        <v/>
      </c>
      <c r="CF229" s="184" t="str">
        <f t="shared" si="606"/>
        <v/>
      </c>
      <c r="CG229" s="184" t="str">
        <f t="shared" si="607"/>
        <v/>
      </c>
      <c r="CH229" s="184" t="str">
        <f t="shared" si="608"/>
        <v/>
      </c>
      <c r="CI229" s="184" t="str">
        <f t="shared" si="609"/>
        <v/>
      </c>
      <c r="CJ229" s="184" t="str">
        <f t="shared" si="610"/>
        <v/>
      </c>
      <c r="CK229" s="184"/>
      <c r="CM229" s="184"/>
      <c r="CN229"/>
      <c r="CP229"/>
      <c r="CR229"/>
      <c r="CT229"/>
      <c r="CV229"/>
      <c r="CX229"/>
      <c r="CZ229"/>
      <c r="DB229"/>
      <c r="DD229"/>
      <c r="DF229"/>
      <c r="ED229" s="184"/>
      <c r="EF229" s="184"/>
      <c r="EH229" s="184"/>
      <c r="EJ229" s="184"/>
      <c r="EL229" s="184"/>
      <c r="EN229" s="184"/>
      <c r="EP229" s="184"/>
      <c r="ER229" s="184"/>
      <c r="ET229" s="184"/>
      <c r="EV229" s="184"/>
      <c r="EX229" s="184"/>
      <c r="EZ229" s="184"/>
      <c r="FB229" s="184"/>
    </row>
    <row r="230" spans="1:158">
      <c r="A230" s="184">
        <f t="shared" si="653"/>
        <v>45</v>
      </c>
      <c r="B230" s="18">
        <f t="shared" si="405"/>
        <v>10620</v>
      </c>
      <c r="C230" s="18">
        <f t="shared" si="482"/>
        <v>13293.333333333299</v>
      </c>
      <c r="D230" s="18">
        <f t="shared" si="483"/>
        <v>17593.333333333321</v>
      </c>
      <c r="E230" s="18">
        <f t="shared" si="458"/>
        <v>21033.333333333358</v>
      </c>
      <c r="F230" s="18">
        <f t="shared" si="459"/>
        <v>10586.666666666677</v>
      </c>
      <c r="G230" s="18">
        <f t="shared" si="460"/>
        <v>13246.666666666701</v>
      </c>
      <c r="H230" s="18">
        <f t="shared" si="461"/>
        <v>17600</v>
      </c>
      <c r="I230" s="18">
        <f t="shared" si="462"/>
        <v>10613.333333333319</v>
      </c>
      <c r="J230" s="18">
        <f t="shared" si="463"/>
        <v>14026.666666666701</v>
      </c>
      <c r="K230" s="18">
        <f t="shared" si="464"/>
        <v>17553.333333333318</v>
      </c>
      <c r="L230" s="18">
        <f t="shared" si="465"/>
        <v>21053.333333333361</v>
      </c>
      <c r="M230" s="18">
        <f t="shared" si="466"/>
        <v>26826.666666666602</v>
      </c>
      <c r="N230" s="18">
        <f t="shared" si="467"/>
        <v>13880</v>
      </c>
      <c r="O230" s="18">
        <f t="shared" si="468"/>
        <v>17693.333333333321</v>
      </c>
      <c r="P230" s="18">
        <f t="shared" si="469"/>
        <v>20600</v>
      </c>
      <c r="Q230" s="18">
        <f t="shared" si="470"/>
        <v>24546.666666666599</v>
      </c>
      <c r="R230" s="18">
        <f t="shared" si="471"/>
        <v>36080</v>
      </c>
      <c r="S230" s="18">
        <f t="shared" si="472"/>
        <v>21566.666666666613</v>
      </c>
      <c r="T230" s="18">
        <f t="shared" si="473"/>
        <v>24543.333333333401</v>
      </c>
      <c r="U230" s="18">
        <f t="shared" si="474"/>
        <v>28115.706666666687</v>
      </c>
      <c r="V230" s="18">
        <f t="shared" si="475"/>
        <v>35294.400000000081</v>
      </c>
      <c r="W230" s="18">
        <f t="shared" si="476"/>
        <v>44314.080000000162</v>
      </c>
      <c r="X230" s="18">
        <f t="shared" si="477"/>
        <v>52563.599999999919</v>
      </c>
      <c r="Y230" s="18">
        <f t="shared" si="478"/>
        <v>53266.666666666802</v>
      </c>
      <c r="Z230" s="18">
        <f t="shared" si="478"/>
        <v>43082.666666666759</v>
      </c>
      <c r="AA230" s="18">
        <f t="shared" ref="AA230:AB230" si="657">AA229+(AA$234-AA$174)/60</f>
        <v>51125.333333333198</v>
      </c>
      <c r="AB230" s="18">
        <f t="shared" si="657"/>
        <v>64856</v>
      </c>
      <c r="AC230" s="18">
        <f t="shared" si="477"/>
        <v>13780</v>
      </c>
      <c r="AD230" s="18">
        <f t="shared" ref="AD230:AR230" si="658">AD229+(AD$234-AD$174)/60</f>
        <v>17613.333333333321</v>
      </c>
      <c r="AE230" s="18">
        <f t="shared" si="658"/>
        <v>20506.666666666639</v>
      </c>
      <c r="AF230" s="18">
        <f t="shared" si="658"/>
        <v>23600</v>
      </c>
      <c r="AG230" s="18">
        <f t="shared" si="658"/>
        <v>29353.333333333401</v>
      </c>
      <c r="AH230" s="18">
        <f t="shared" ref="AH230:AK230" si="659">AH229+(AH$234-AH$174)/60</f>
        <v>18626.666666666657</v>
      </c>
      <c r="AI230" s="18">
        <f t="shared" si="659"/>
        <v>22266.666666666621</v>
      </c>
      <c r="AJ230" s="18">
        <f t="shared" si="659"/>
        <v>24700</v>
      </c>
      <c r="AK230" s="18">
        <f t="shared" si="659"/>
        <v>28600</v>
      </c>
      <c r="AL230" s="18">
        <f t="shared" si="658"/>
        <v>22000</v>
      </c>
      <c r="AM230" s="18">
        <f t="shared" si="658"/>
        <v>25000</v>
      </c>
      <c r="AN230" s="18">
        <f t="shared" si="658"/>
        <v>28600</v>
      </c>
      <c r="AO230" s="18">
        <f t="shared" si="658"/>
        <v>45000</v>
      </c>
      <c r="AP230" s="18">
        <f t="shared" si="658"/>
        <v>48000</v>
      </c>
      <c r="AQ230" s="18">
        <f t="shared" si="658"/>
        <v>54000</v>
      </c>
      <c r="AR230" s="18">
        <f t="shared" si="658"/>
        <v>147200</v>
      </c>
      <c r="AS230" s="18">
        <f t="shared" si="566"/>
        <v>9782.608695652174</v>
      </c>
      <c r="AT230" s="184" t="str">
        <f t="shared" si="570"/>
        <v/>
      </c>
      <c r="AU230" s="184" t="str">
        <f t="shared" si="571"/>
        <v/>
      </c>
      <c r="AV230" s="184" t="str">
        <f t="shared" si="572"/>
        <v/>
      </c>
      <c r="AW230" s="184" t="str">
        <f t="shared" si="573"/>
        <v/>
      </c>
      <c r="AX230" s="184" t="str">
        <f t="shared" si="574"/>
        <v/>
      </c>
      <c r="AY230" s="184" t="str">
        <f t="shared" si="575"/>
        <v/>
      </c>
      <c r="AZ230" s="184" t="str">
        <f t="shared" si="576"/>
        <v/>
      </c>
      <c r="BA230" s="184" t="str">
        <f t="shared" si="577"/>
        <v/>
      </c>
      <c r="BB230" s="184" t="str">
        <f t="shared" si="578"/>
        <v/>
      </c>
      <c r="BC230" s="184" t="str">
        <f t="shared" si="579"/>
        <v/>
      </c>
      <c r="BD230" s="184" t="str">
        <f t="shared" si="580"/>
        <v/>
      </c>
      <c r="BE230" s="184" t="str">
        <f t="shared" si="581"/>
        <v/>
      </c>
      <c r="BF230" s="184" t="str">
        <f t="shared" si="582"/>
        <v/>
      </c>
      <c r="BG230" s="184" t="str">
        <f t="shared" si="583"/>
        <v/>
      </c>
      <c r="BH230" s="184" t="str">
        <f t="shared" si="584"/>
        <v/>
      </c>
      <c r="BI230" s="184" t="str">
        <f t="shared" si="585"/>
        <v/>
      </c>
      <c r="BJ230" s="184" t="str">
        <f t="shared" si="586"/>
        <v/>
      </c>
      <c r="BK230" s="184" t="str">
        <f t="shared" si="587"/>
        <v/>
      </c>
      <c r="BL230" s="184" t="str">
        <f t="shared" si="588"/>
        <v/>
      </c>
      <c r="BM230" s="184" t="str">
        <f t="shared" si="589"/>
        <v/>
      </c>
      <c r="BN230" s="184" t="str">
        <f t="shared" si="590"/>
        <v/>
      </c>
      <c r="BO230" s="184" t="str">
        <f t="shared" si="591"/>
        <v/>
      </c>
      <c r="BP230" s="184" t="str">
        <f t="shared" si="592"/>
        <v/>
      </c>
      <c r="BQ230" s="184" t="str">
        <f t="shared" si="593"/>
        <v/>
      </c>
      <c r="BR230" s="184" t="str">
        <f t="shared" ref="BR230:BT245" si="660">IF(AND(Z230&gt;=$AS230,Z229&lt;$AS229),1,"")</f>
        <v/>
      </c>
      <c r="BS230" s="184" t="str">
        <f t="shared" si="660"/>
        <v/>
      </c>
      <c r="BT230" s="184" t="str">
        <f t="shared" si="660"/>
        <v/>
      </c>
      <c r="BU230" s="184" t="str">
        <f t="shared" si="595"/>
        <v/>
      </c>
      <c r="BV230" s="184" t="str">
        <f t="shared" si="596"/>
        <v/>
      </c>
      <c r="BW230" s="184" t="str">
        <f t="shared" si="597"/>
        <v/>
      </c>
      <c r="BX230" s="184" t="str">
        <f t="shared" si="598"/>
        <v/>
      </c>
      <c r="BY230" s="184" t="str">
        <f t="shared" si="599"/>
        <v/>
      </c>
      <c r="BZ230" s="184" t="str">
        <f t="shared" si="600"/>
        <v/>
      </c>
      <c r="CA230" s="184" t="str">
        <f t="shared" si="601"/>
        <v/>
      </c>
      <c r="CB230" s="184" t="str">
        <f t="shared" si="602"/>
        <v/>
      </c>
      <c r="CC230" s="184" t="str">
        <f t="shared" si="603"/>
        <v/>
      </c>
      <c r="CD230" s="184" t="str">
        <f t="shared" si="604"/>
        <v/>
      </c>
      <c r="CE230" s="184" t="str">
        <f t="shared" si="605"/>
        <v/>
      </c>
      <c r="CF230" s="184" t="str">
        <f t="shared" si="606"/>
        <v/>
      </c>
      <c r="CG230" s="184" t="str">
        <f t="shared" si="607"/>
        <v/>
      </c>
      <c r="CH230" s="184" t="str">
        <f t="shared" si="608"/>
        <v/>
      </c>
      <c r="CI230" s="184" t="str">
        <f t="shared" si="609"/>
        <v/>
      </c>
      <c r="CJ230" s="184" t="str">
        <f t="shared" si="610"/>
        <v/>
      </c>
      <c r="CK230" s="184"/>
      <c r="CM230" s="184"/>
      <c r="CN230"/>
      <c r="CP230"/>
      <c r="CR230"/>
      <c r="CT230"/>
      <c r="CV230"/>
      <c r="CX230"/>
      <c r="CZ230"/>
      <c r="DB230"/>
      <c r="DD230"/>
      <c r="DF230"/>
      <c r="ED230" s="184"/>
      <c r="EF230" s="184"/>
      <c r="EH230" s="184"/>
      <c r="EJ230" s="184"/>
      <c r="EL230" s="184"/>
      <c r="EN230" s="184"/>
      <c r="EP230" s="184"/>
      <c r="ER230" s="184"/>
      <c r="ET230" s="184"/>
      <c r="EV230" s="184"/>
      <c r="EX230" s="184"/>
      <c r="EZ230" s="184"/>
      <c r="FB230" s="184"/>
    </row>
    <row r="231" spans="1:158">
      <c r="A231" s="184">
        <f t="shared" si="653"/>
        <v>45.5</v>
      </c>
      <c r="B231" s="18">
        <f t="shared" si="405"/>
        <v>10690</v>
      </c>
      <c r="C231" s="18">
        <f t="shared" si="482"/>
        <v>13369.999999999965</v>
      </c>
      <c r="D231" s="18">
        <f t="shared" si="483"/>
        <v>17694.999999999989</v>
      </c>
      <c r="E231" s="18">
        <f t="shared" si="458"/>
        <v>21175.000000000025</v>
      </c>
      <c r="F231" s="18">
        <f t="shared" si="459"/>
        <v>10665.000000000011</v>
      </c>
      <c r="G231" s="18">
        <f t="shared" si="460"/>
        <v>13335.000000000035</v>
      </c>
      <c r="H231" s="18">
        <f t="shared" si="461"/>
        <v>17700</v>
      </c>
      <c r="I231" s="18">
        <f t="shared" si="462"/>
        <v>10684.999999999985</v>
      </c>
      <c r="J231" s="18">
        <f t="shared" si="463"/>
        <v>14120.000000000035</v>
      </c>
      <c r="K231" s="18">
        <f t="shared" si="464"/>
        <v>17664.999999999985</v>
      </c>
      <c r="L231" s="18">
        <f t="shared" si="465"/>
        <v>21190.000000000029</v>
      </c>
      <c r="M231" s="18">
        <f t="shared" si="466"/>
        <v>27019.999999999935</v>
      </c>
      <c r="N231" s="18">
        <f t="shared" si="467"/>
        <v>13935</v>
      </c>
      <c r="O231" s="18">
        <f t="shared" si="468"/>
        <v>17794.999999999989</v>
      </c>
      <c r="P231" s="18">
        <f t="shared" si="469"/>
        <v>20675</v>
      </c>
      <c r="Q231" s="18">
        <f t="shared" si="470"/>
        <v>24659.999999999931</v>
      </c>
      <c r="R231" s="18">
        <f t="shared" si="471"/>
        <v>36285</v>
      </c>
      <c r="S231" s="18">
        <f t="shared" si="472"/>
        <v>21674.999999999945</v>
      </c>
      <c r="T231" s="18">
        <f t="shared" si="473"/>
        <v>24657.500000000069</v>
      </c>
      <c r="U231" s="18">
        <f t="shared" si="474"/>
        <v>28236.780000000021</v>
      </c>
      <c r="V231" s="18">
        <f t="shared" si="475"/>
        <v>35470.800000000083</v>
      </c>
      <c r="W231" s="18">
        <f t="shared" si="476"/>
        <v>44535.560000000165</v>
      </c>
      <c r="X231" s="18">
        <f t="shared" si="477"/>
        <v>52922.699999999917</v>
      </c>
      <c r="Y231" s="18">
        <f t="shared" si="478"/>
        <v>53450.000000000138</v>
      </c>
      <c r="Z231" s="18">
        <f t="shared" si="478"/>
        <v>43312.000000000095</v>
      </c>
      <c r="AA231" s="18">
        <f t="shared" ref="AA231:AB231" si="661">AA230+(AA$234-AA$174)/60</f>
        <v>51343.999999999862</v>
      </c>
      <c r="AB231" s="18">
        <f t="shared" si="661"/>
        <v>65142</v>
      </c>
      <c r="AC231" s="18">
        <f t="shared" si="477"/>
        <v>13835</v>
      </c>
      <c r="AD231" s="18">
        <f t="shared" ref="AD231:AR231" si="662">AD230+(AD$234-AD$174)/60</f>
        <v>17709.999999999989</v>
      </c>
      <c r="AE231" s="18">
        <f t="shared" si="662"/>
        <v>20629.999999999971</v>
      </c>
      <c r="AF231" s="18">
        <f t="shared" si="662"/>
        <v>23700</v>
      </c>
      <c r="AG231" s="18">
        <f t="shared" si="662"/>
        <v>29515.000000000069</v>
      </c>
      <c r="AH231" s="18">
        <f t="shared" ref="AH231:AK231" si="663">AH230+(AH$234-AH$174)/60</f>
        <v>18719.999999999989</v>
      </c>
      <c r="AI231" s="18">
        <f t="shared" si="663"/>
        <v>22399.999999999953</v>
      </c>
      <c r="AJ231" s="18">
        <f t="shared" si="663"/>
        <v>24775</v>
      </c>
      <c r="AK231" s="18">
        <f t="shared" si="663"/>
        <v>28700</v>
      </c>
      <c r="AL231" s="18">
        <f t="shared" si="662"/>
        <v>22000</v>
      </c>
      <c r="AM231" s="18">
        <f t="shared" si="662"/>
        <v>25000</v>
      </c>
      <c r="AN231" s="18">
        <f t="shared" si="662"/>
        <v>28600</v>
      </c>
      <c r="AO231" s="18">
        <f t="shared" si="662"/>
        <v>45000</v>
      </c>
      <c r="AP231" s="18">
        <f t="shared" si="662"/>
        <v>48000</v>
      </c>
      <c r="AQ231" s="18">
        <f t="shared" si="662"/>
        <v>54000</v>
      </c>
      <c r="AR231" s="18">
        <f t="shared" si="662"/>
        <v>147200</v>
      </c>
      <c r="AS231" s="18">
        <f t="shared" si="566"/>
        <v>9456.5217391304341</v>
      </c>
      <c r="AT231" s="184" t="str">
        <f t="shared" si="570"/>
        <v/>
      </c>
      <c r="AU231" s="184" t="str">
        <f t="shared" si="571"/>
        <v/>
      </c>
      <c r="AV231" s="184" t="str">
        <f t="shared" si="572"/>
        <v/>
      </c>
      <c r="AW231" s="184" t="str">
        <f t="shared" si="573"/>
        <v/>
      </c>
      <c r="AX231" s="184" t="str">
        <f t="shared" si="574"/>
        <v/>
      </c>
      <c r="AY231" s="184" t="str">
        <f t="shared" si="575"/>
        <v/>
      </c>
      <c r="AZ231" s="184" t="str">
        <f t="shared" si="576"/>
        <v/>
      </c>
      <c r="BA231" s="184" t="str">
        <f t="shared" si="577"/>
        <v/>
      </c>
      <c r="BB231" s="184" t="str">
        <f t="shared" si="578"/>
        <v/>
      </c>
      <c r="BC231" s="184" t="str">
        <f t="shared" si="579"/>
        <v/>
      </c>
      <c r="BD231" s="184" t="str">
        <f t="shared" si="580"/>
        <v/>
      </c>
      <c r="BE231" s="184" t="str">
        <f t="shared" si="581"/>
        <v/>
      </c>
      <c r="BF231" s="184" t="str">
        <f t="shared" si="582"/>
        <v/>
      </c>
      <c r="BG231" s="184" t="str">
        <f t="shared" si="583"/>
        <v/>
      </c>
      <c r="BH231" s="184" t="str">
        <f t="shared" si="584"/>
        <v/>
      </c>
      <c r="BI231" s="184" t="str">
        <f t="shared" si="585"/>
        <v/>
      </c>
      <c r="BJ231" s="184" t="str">
        <f t="shared" si="586"/>
        <v/>
      </c>
      <c r="BK231" s="184" t="str">
        <f t="shared" si="587"/>
        <v/>
      </c>
      <c r="BL231" s="184" t="str">
        <f t="shared" si="588"/>
        <v/>
      </c>
      <c r="BM231" s="184" t="str">
        <f t="shared" si="589"/>
        <v/>
      </c>
      <c r="BN231" s="184" t="str">
        <f t="shared" si="590"/>
        <v/>
      </c>
      <c r="BO231" s="184" t="str">
        <f t="shared" si="591"/>
        <v/>
      </c>
      <c r="BP231" s="184" t="str">
        <f t="shared" si="592"/>
        <v/>
      </c>
      <c r="BQ231" s="184" t="str">
        <f t="shared" si="593"/>
        <v/>
      </c>
      <c r="BR231" s="184" t="str">
        <f t="shared" si="660"/>
        <v/>
      </c>
      <c r="BS231" s="184" t="str">
        <f t="shared" si="660"/>
        <v/>
      </c>
      <c r="BT231" s="184" t="str">
        <f t="shared" si="660"/>
        <v/>
      </c>
      <c r="BU231" s="184" t="str">
        <f t="shared" si="595"/>
        <v/>
      </c>
      <c r="BV231" s="184" t="str">
        <f t="shared" si="596"/>
        <v/>
      </c>
      <c r="BW231" s="184" t="str">
        <f t="shared" si="597"/>
        <v/>
      </c>
      <c r="BX231" s="184" t="str">
        <f t="shared" si="598"/>
        <v/>
      </c>
      <c r="BY231" s="184" t="str">
        <f t="shared" si="599"/>
        <v/>
      </c>
      <c r="BZ231" s="184" t="str">
        <f t="shared" si="600"/>
        <v/>
      </c>
      <c r="CA231" s="184" t="str">
        <f t="shared" si="601"/>
        <v/>
      </c>
      <c r="CB231" s="184" t="str">
        <f t="shared" si="602"/>
        <v/>
      </c>
      <c r="CC231" s="184" t="str">
        <f t="shared" si="603"/>
        <v/>
      </c>
      <c r="CD231" s="184" t="str">
        <f t="shared" si="604"/>
        <v/>
      </c>
      <c r="CE231" s="184" t="str">
        <f t="shared" si="605"/>
        <v/>
      </c>
      <c r="CF231" s="184" t="str">
        <f t="shared" si="606"/>
        <v/>
      </c>
      <c r="CG231" s="184" t="str">
        <f t="shared" si="607"/>
        <v/>
      </c>
      <c r="CH231" s="184" t="str">
        <f t="shared" si="608"/>
        <v/>
      </c>
      <c r="CI231" s="184" t="str">
        <f t="shared" si="609"/>
        <v/>
      </c>
      <c r="CJ231" s="184" t="str">
        <f t="shared" si="610"/>
        <v/>
      </c>
      <c r="CK231" s="184"/>
      <c r="CM231" s="184"/>
      <c r="CN231"/>
      <c r="CP231"/>
      <c r="CR231"/>
      <c r="CT231"/>
      <c r="CV231"/>
      <c r="CX231"/>
      <c r="CZ231"/>
      <c r="DB231"/>
      <c r="DD231"/>
      <c r="DF231"/>
      <c r="ED231" s="184"/>
      <c r="EF231" s="184"/>
      <c r="EH231" s="184"/>
      <c r="EJ231" s="184"/>
      <c r="EL231" s="184"/>
      <c r="EN231" s="184"/>
      <c r="EP231" s="184"/>
      <c r="ER231" s="184"/>
      <c r="ET231" s="184"/>
      <c r="EV231" s="184"/>
      <c r="EX231" s="184"/>
      <c r="EZ231" s="184"/>
      <c r="FB231" s="184"/>
    </row>
    <row r="232" spans="1:158">
      <c r="A232" s="184">
        <f t="shared" si="653"/>
        <v>46</v>
      </c>
      <c r="B232" s="18">
        <f t="shared" si="405"/>
        <v>10760</v>
      </c>
      <c r="C232" s="18">
        <f t="shared" si="482"/>
        <v>13446.666666666631</v>
      </c>
      <c r="D232" s="18">
        <f t="shared" si="483"/>
        <v>17796.666666666657</v>
      </c>
      <c r="E232" s="18">
        <f t="shared" si="458"/>
        <v>21316.666666666693</v>
      </c>
      <c r="F232" s="18">
        <f t="shared" si="459"/>
        <v>10743.333333333345</v>
      </c>
      <c r="G232" s="18">
        <f t="shared" si="460"/>
        <v>13423.333333333369</v>
      </c>
      <c r="H232" s="18">
        <f t="shared" si="461"/>
        <v>17800</v>
      </c>
      <c r="I232" s="18">
        <f t="shared" si="462"/>
        <v>10756.666666666652</v>
      </c>
      <c r="J232" s="18">
        <f t="shared" si="463"/>
        <v>14213.333333333369</v>
      </c>
      <c r="K232" s="18">
        <f t="shared" si="464"/>
        <v>17776.666666666653</v>
      </c>
      <c r="L232" s="18">
        <f t="shared" si="465"/>
        <v>21326.666666666697</v>
      </c>
      <c r="M232" s="18">
        <f t="shared" si="466"/>
        <v>27213.333333333267</v>
      </c>
      <c r="N232" s="18">
        <f t="shared" si="467"/>
        <v>13990</v>
      </c>
      <c r="O232" s="18">
        <f t="shared" si="468"/>
        <v>17896.666666666657</v>
      </c>
      <c r="P232" s="18">
        <f t="shared" si="469"/>
        <v>20750</v>
      </c>
      <c r="Q232" s="18">
        <f t="shared" si="470"/>
        <v>24773.333333333263</v>
      </c>
      <c r="R232" s="18">
        <f t="shared" si="471"/>
        <v>36490</v>
      </c>
      <c r="S232" s="18">
        <f t="shared" si="472"/>
        <v>21783.333333333278</v>
      </c>
      <c r="T232" s="18">
        <f t="shared" si="473"/>
        <v>24771.666666666737</v>
      </c>
      <c r="U232" s="18">
        <f t="shared" si="474"/>
        <v>28357.853333333354</v>
      </c>
      <c r="V232" s="18">
        <f t="shared" si="475"/>
        <v>35647.200000000084</v>
      </c>
      <c r="W232" s="18">
        <f t="shared" si="476"/>
        <v>44757.040000000168</v>
      </c>
      <c r="X232" s="18">
        <f t="shared" si="477"/>
        <v>53281.799999999916</v>
      </c>
      <c r="Y232" s="18">
        <f t="shared" si="478"/>
        <v>53633.333333333474</v>
      </c>
      <c r="Z232" s="18">
        <f t="shared" si="478"/>
        <v>43541.33333333343</v>
      </c>
      <c r="AA232" s="18">
        <f t="shared" ref="AA232:AB232" si="664">AA231+(AA$234-AA$174)/60</f>
        <v>51562.666666666526</v>
      </c>
      <c r="AB232" s="18">
        <f t="shared" si="664"/>
        <v>65428</v>
      </c>
      <c r="AC232" s="18">
        <f t="shared" si="477"/>
        <v>13890</v>
      </c>
      <c r="AD232" s="18">
        <f t="shared" ref="AD232:AR232" si="665">AD231+(AD$234-AD$174)/60</f>
        <v>17806.666666666657</v>
      </c>
      <c r="AE232" s="18">
        <f t="shared" si="665"/>
        <v>20753.333333333303</v>
      </c>
      <c r="AF232" s="18">
        <f t="shared" si="665"/>
        <v>23800</v>
      </c>
      <c r="AG232" s="18">
        <f t="shared" si="665"/>
        <v>29676.666666666737</v>
      </c>
      <c r="AH232" s="18">
        <f t="shared" ref="AH232:AK232" si="666">AH231+(AH$234-AH$174)/60</f>
        <v>18813.333333333321</v>
      </c>
      <c r="AI232" s="18">
        <f t="shared" si="666"/>
        <v>22533.333333333285</v>
      </c>
      <c r="AJ232" s="18">
        <f t="shared" si="666"/>
        <v>24850</v>
      </c>
      <c r="AK232" s="18">
        <f t="shared" si="666"/>
        <v>28800</v>
      </c>
      <c r="AL232" s="18">
        <f t="shared" si="665"/>
        <v>22000</v>
      </c>
      <c r="AM232" s="18">
        <f t="shared" si="665"/>
        <v>25000</v>
      </c>
      <c r="AN232" s="18">
        <f t="shared" si="665"/>
        <v>28600</v>
      </c>
      <c r="AO232" s="18">
        <f t="shared" si="665"/>
        <v>45000</v>
      </c>
      <c r="AP232" s="18">
        <f t="shared" si="665"/>
        <v>48000</v>
      </c>
      <c r="AQ232" s="18">
        <f t="shared" si="665"/>
        <v>54000</v>
      </c>
      <c r="AR232" s="18">
        <f t="shared" si="665"/>
        <v>147200</v>
      </c>
      <c r="AS232" s="18">
        <f t="shared" si="566"/>
        <v>9130.434782608696</v>
      </c>
      <c r="AT232" s="184" t="str">
        <f t="shared" si="570"/>
        <v/>
      </c>
      <c r="AU232" s="184" t="str">
        <f t="shared" si="571"/>
        <v/>
      </c>
      <c r="AV232" s="184" t="str">
        <f t="shared" si="572"/>
        <v/>
      </c>
      <c r="AW232" s="184" t="str">
        <f t="shared" si="573"/>
        <v/>
      </c>
      <c r="AX232" s="184" t="str">
        <f t="shared" si="574"/>
        <v/>
      </c>
      <c r="AY232" s="184" t="str">
        <f t="shared" si="575"/>
        <v/>
      </c>
      <c r="AZ232" s="184" t="str">
        <f t="shared" si="576"/>
        <v/>
      </c>
      <c r="BA232" s="184" t="str">
        <f t="shared" si="577"/>
        <v/>
      </c>
      <c r="BB232" s="184" t="str">
        <f t="shared" si="578"/>
        <v/>
      </c>
      <c r="BC232" s="184" t="str">
        <f t="shared" si="579"/>
        <v/>
      </c>
      <c r="BD232" s="184" t="str">
        <f t="shared" si="580"/>
        <v/>
      </c>
      <c r="BE232" s="184" t="str">
        <f t="shared" si="581"/>
        <v/>
      </c>
      <c r="BF232" s="184" t="str">
        <f t="shared" si="582"/>
        <v/>
      </c>
      <c r="BG232" s="184" t="str">
        <f t="shared" si="583"/>
        <v/>
      </c>
      <c r="BH232" s="184" t="str">
        <f t="shared" si="584"/>
        <v/>
      </c>
      <c r="BI232" s="184" t="str">
        <f t="shared" si="585"/>
        <v/>
      </c>
      <c r="BJ232" s="184" t="str">
        <f t="shared" si="586"/>
        <v/>
      </c>
      <c r="BK232" s="184" t="str">
        <f t="shared" si="587"/>
        <v/>
      </c>
      <c r="BL232" s="184" t="str">
        <f t="shared" si="588"/>
        <v/>
      </c>
      <c r="BM232" s="184" t="str">
        <f t="shared" si="589"/>
        <v/>
      </c>
      <c r="BN232" s="184" t="str">
        <f t="shared" si="590"/>
        <v/>
      </c>
      <c r="BO232" s="184" t="str">
        <f t="shared" si="591"/>
        <v/>
      </c>
      <c r="BP232" s="184" t="str">
        <f t="shared" si="592"/>
        <v/>
      </c>
      <c r="BQ232" s="184" t="str">
        <f t="shared" si="593"/>
        <v/>
      </c>
      <c r="BR232" s="184" t="str">
        <f t="shared" si="660"/>
        <v/>
      </c>
      <c r="BS232" s="184" t="str">
        <f t="shared" si="660"/>
        <v/>
      </c>
      <c r="BT232" s="184" t="str">
        <f t="shared" si="660"/>
        <v/>
      </c>
      <c r="BU232" s="184" t="str">
        <f t="shared" si="595"/>
        <v/>
      </c>
      <c r="BV232" s="184" t="str">
        <f t="shared" si="596"/>
        <v/>
      </c>
      <c r="BW232" s="184" t="str">
        <f t="shared" si="597"/>
        <v/>
      </c>
      <c r="BX232" s="184" t="str">
        <f t="shared" si="598"/>
        <v/>
      </c>
      <c r="BY232" s="184" t="str">
        <f t="shared" si="599"/>
        <v/>
      </c>
      <c r="BZ232" s="184" t="str">
        <f t="shared" si="600"/>
        <v/>
      </c>
      <c r="CA232" s="184" t="str">
        <f t="shared" si="601"/>
        <v/>
      </c>
      <c r="CB232" s="184" t="str">
        <f t="shared" si="602"/>
        <v/>
      </c>
      <c r="CC232" s="184" t="str">
        <f t="shared" si="603"/>
        <v/>
      </c>
      <c r="CD232" s="184" t="str">
        <f t="shared" si="604"/>
        <v/>
      </c>
      <c r="CE232" s="184" t="str">
        <f t="shared" si="605"/>
        <v/>
      </c>
      <c r="CF232" s="184" t="str">
        <f t="shared" si="606"/>
        <v/>
      </c>
      <c r="CG232" s="184" t="str">
        <f t="shared" si="607"/>
        <v/>
      </c>
      <c r="CH232" s="184" t="str">
        <f t="shared" si="608"/>
        <v/>
      </c>
      <c r="CI232" s="184" t="str">
        <f t="shared" si="609"/>
        <v/>
      </c>
      <c r="CJ232" s="184" t="str">
        <f t="shared" si="610"/>
        <v/>
      </c>
      <c r="CK232" s="184"/>
      <c r="CM232" s="184"/>
      <c r="CN232"/>
      <c r="CP232"/>
      <c r="CR232"/>
      <c r="CT232"/>
      <c r="CV232"/>
      <c r="CX232"/>
      <c r="CZ232"/>
      <c r="DB232"/>
      <c r="DD232"/>
      <c r="DF232"/>
      <c r="ED232" s="184"/>
      <c r="EF232" s="184"/>
      <c r="EH232" s="184"/>
      <c r="EJ232" s="184"/>
      <c r="EL232" s="184"/>
      <c r="EN232" s="184"/>
      <c r="EP232" s="184"/>
      <c r="ER232" s="184"/>
      <c r="ET232" s="184"/>
      <c r="EV232" s="184"/>
      <c r="EX232" s="184"/>
      <c r="EZ232" s="184"/>
      <c r="FB232" s="184"/>
    </row>
    <row r="233" spans="1:158">
      <c r="A233" s="184">
        <f t="shared" si="653"/>
        <v>46.5</v>
      </c>
      <c r="B233" s="18">
        <f t="shared" si="405"/>
        <v>10830</v>
      </c>
      <c r="C233" s="18">
        <f t="shared" si="482"/>
        <v>13523.333333333298</v>
      </c>
      <c r="D233" s="18">
        <f t="shared" si="483"/>
        <v>17898.333333333325</v>
      </c>
      <c r="E233" s="18">
        <f t="shared" si="458"/>
        <v>21458.333333333361</v>
      </c>
      <c r="F233" s="18">
        <f t="shared" si="459"/>
        <v>10821.666666666679</v>
      </c>
      <c r="G233" s="18">
        <f t="shared" si="460"/>
        <v>13511.666666666702</v>
      </c>
      <c r="H233" s="18">
        <f t="shared" si="461"/>
        <v>17900</v>
      </c>
      <c r="I233" s="18">
        <f t="shared" si="462"/>
        <v>10828.333333333318</v>
      </c>
      <c r="J233" s="18">
        <f t="shared" si="463"/>
        <v>14306.666666666702</v>
      </c>
      <c r="K233" s="18">
        <f t="shared" si="464"/>
        <v>17888.333333333321</v>
      </c>
      <c r="L233" s="18">
        <f t="shared" si="465"/>
        <v>21463.333333333365</v>
      </c>
      <c r="M233" s="18">
        <f t="shared" si="466"/>
        <v>27406.666666666599</v>
      </c>
      <c r="N233" s="18">
        <f t="shared" si="467"/>
        <v>14045</v>
      </c>
      <c r="O233" s="18">
        <f t="shared" si="468"/>
        <v>17998.333333333325</v>
      </c>
      <c r="P233" s="18">
        <f t="shared" si="469"/>
        <v>20825</v>
      </c>
      <c r="Q233" s="18">
        <f t="shared" si="470"/>
        <v>24886.666666666595</v>
      </c>
      <c r="R233" s="18">
        <f t="shared" si="471"/>
        <v>36695</v>
      </c>
      <c r="S233" s="18">
        <f t="shared" si="472"/>
        <v>21891.66666666661</v>
      </c>
      <c r="T233" s="18">
        <f t="shared" si="473"/>
        <v>24885.833333333405</v>
      </c>
      <c r="U233" s="18">
        <f t="shared" si="474"/>
        <v>28478.926666666688</v>
      </c>
      <c r="V233" s="18">
        <f t="shared" si="475"/>
        <v>35823.600000000086</v>
      </c>
      <c r="W233" s="18">
        <f t="shared" si="476"/>
        <v>44978.520000000171</v>
      </c>
      <c r="X233" s="18">
        <f t="shared" si="477"/>
        <v>53640.899999999914</v>
      </c>
      <c r="Y233" s="18">
        <f t="shared" si="478"/>
        <v>53816.66666666681</v>
      </c>
      <c r="Z233" s="18">
        <f t="shared" si="478"/>
        <v>43770.666666666766</v>
      </c>
      <c r="AA233" s="18">
        <f t="shared" ref="AA233:AB233" si="667">AA232+(AA$234-AA$174)/60</f>
        <v>51781.33333333319</v>
      </c>
      <c r="AB233" s="18">
        <f t="shared" si="667"/>
        <v>65714</v>
      </c>
      <c r="AC233" s="18">
        <f t="shared" si="477"/>
        <v>13945</v>
      </c>
      <c r="AD233" s="18">
        <f t="shared" ref="AD233:AR233" si="668">AD232+(AD$234-AD$174)/60</f>
        <v>17903.333333333325</v>
      </c>
      <c r="AE233" s="18">
        <f t="shared" si="668"/>
        <v>20876.666666666635</v>
      </c>
      <c r="AF233" s="18">
        <f t="shared" si="668"/>
        <v>23900</v>
      </c>
      <c r="AG233" s="18">
        <f t="shared" si="668"/>
        <v>29838.333333333405</v>
      </c>
      <c r="AH233" s="18">
        <f t="shared" ref="AH233:AK233" si="669">AH232+(AH$234-AH$174)/60</f>
        <v>18906.666666666653</v>
      </c>
      <c r="AI233" s="18">
        <f t="shared" si="669"/>
        <v>22666.666666666617</v>
      </c>
      <c r="AJ233" s="18">
        <f t="shared" si="669"/>
        <v>24925</v>
      </c>
      <c r="AK233" s="18">
        <f t="shared" si="669"/>
        <v>28900</v>
      </c>
      <c r="AL233" s="18">
        <f t="shared" si="668"/>
        <v>22000</v>
      </c>
      <c r="AM233" s="18">
        <f t="shared" si="668"/>
        <v>25000</v>
      </c>
      <c r="AN233" s="18">
        <f t="shared" si="668"/>
        <v>28600</v>
      </c>
      <c r="AO233" s="18">
        <f t="shared" si="668"/>
        <v>45000</v>
      </c>
      <c r="AP233" s="18">
        <f t="shared" si="668"/>
        <v>48000</v>
      </c>
      <c r="AQ233" s="18">
        <f t="shared" si="668"/>
        <v>54000</v>
      </c>
      <c r="AR233" s="18">
        <f t="shared" si="668"/>
        <v>147200</v>
      </c>
      <c r="AS233" s="18">
        <f t="shared" si="566"/>
        <v>8804.347826086956</v>
      </c>
      <c r="AT233" s="184" t="str">
        <f t="shared" si="570"/>
        <v/>
      </c>
      <c r="AU233" s="184" t="str">
        <f t="shared" si="571"/>
        <v/>
      </c>
      <c r="AV233" s="184" t="str">
        <f t="shared" si="572"/>
        <v/>
      </c>
      <c r="AW233" s="184" t="str">
        <f t="shared" si="573"/>
        <v/>
      </c>
      <c r="AX233" s="184" t="str">
        <f t="shared" si="574"/>
        <v/>
      </c>
      <c r="AY233" s="184" t="str">
        <f t="shared" si="575"/>
        <v/>
      </c>
      <c r="AZ233" s="184" t="str">
        <f t="shared" si="576"/>
        <v/>
      </c>
      <c r="BA233" s="184" t="str">
        <f t="shared" si="577"/>
        <v/>
      </c>
      <c r="BB233" s="184" t="str">
        <f t="shared" si="578"/>
        <v/>
      </c>
      <c r="BC233" s="184" t="str">
        <f t="shared" si="579"/>
        <v/>
      </c>
      <c r="BD233" s="184" t="str">
        <f t="shared" si="580"/>
        <v/>
      </c>
      <c r="BE233" s="184" t="str">
        <f t="shared" si="581"/>
        <v/>
      </c>
      <c r="BF233" s="184" t="str">
        <f t="shared" si="582"/>
        <v/>
      </c>
      <c r="BG233" s="184" t="str">
        <f t="shared" si="583"/>
        <v/>
      </c>
      <c r="BH233" s="184" t="str">
        <f t="shared" si="584"/>
        <v/>
      </c>
      <c r="BI233" s="184" t="str">
        <f t="shared" si="585"/>
        <v/>
      </c>
      <c r="BJ233" s="184" t="str">
        <f t="shared" si="586"/>
        <v/>
      </c>
      <c r="BK233" s="184" t="str">
        <f t="shared" si="587"/>
        <v/>
      </c>
      <c r="BL233" s="184" t="str">
        <f t="shared" si="588"/>
        <v/>
      </c>
      <c r="BM233" s="184" t="str">
        <f t="shared" si="589"/>
        <v/>
      </c>
      <c r="BN233" s="184" t="str">
        <f t="shared" si="590"/>
        <v/>
      </c>
      <c r="BO233" s="184" t="str">
        <f t="shared" si="591"/>
        <v/>
      </c>
      <c r="BP233" s="184" t="str">
        <f t="shared" si="592"/>
        <v/>
      </c>
      <c r="BQ233" s="184" t="str">
        <f t="shared" si="593"/>
        <v/>
      </c>
      <c r="BR233" s="184" t="str">
        <f t="shared" si="660"/>
        <v/>
      </c>
      <c r="BS233" s="184" t="str">
        <f t="shared" si="660"/>
        <v/>
      </c>
      <c r="BT233" s="184" t="str">
        <f t="shared" si="660"/>
        <v/>
      </c>
      <c r="BU233" s="184" t="str">
        <f t="shared" si="595"/>
        <v/>
      </c>
      <c r="BV233" s="184" t="str">
        <f t="shared" si="596"/>
        <v/>
      </c>
      <c r="BW233" s="184" t="str">
        <f t="shared" si="597"/>
        <v/>
      </c>
      <c r="BX233" s="184" t="str">
        <f t="shared" si="598"/>
        <v/>
      </c>
      <c r="BY233" s="184" t="str">
        <f t="shared" si="599"/>
        <v/>
      </c>
      <c r="BZ233" s="184" t="str">
        <f t="shared" si="600"/>
        <v/>
      </c>
      <c r="CA233" s="184" t="str">
        <f t="shared" si="601"/>
        <v/>
      </c>
      <c r="CB233" s="184" t="str">
        <f t="shared" si="602"/>
        <v/>
      </c>
      <c r="CC233" s="184" t="str">
        <f t="shared" si="603"/>
        <v/>
      </c>
      <c r="CD233" s="184" t="str">
        <f t="shared" si="604"/>
        <v/>
      </c>
      <c r="CE233" s="184" t="str">
        <f t="shared" si="605"/>
        <v/>
      </c>
      <c r="CF233" s="184" t="str">
        <f t="shared" si="606"/>
        <v/>
      </c>
      <c r="CG233" s="184" t="str">
        <f t="shared" si="607"/>
        <v/>
      </c>
      <c r="CH233" s="184" t="str">
        <f t="shared" si="608"/>
        <v/>
      </c>
      <c r="CI233" s="184" t="str">
        <f t="shared" si="609"/>
        <v/>
      </c>
      <c r="CJ233" s="184" t="str">
        <f t="shared" si="610"/>
        <v/>
      </c>
      <c r="CK233" s="184"/>
      <c r="CM233" s="184"/>
      <c r="CN233"/>
      <c r="CP233"/>
      <c r="CR233"/>
      <c r="CT233"/>
      <c r="CV233"/>
      <c r="CX233"/>
      <c r="CZ233"/>
      <c r="DB233"/>
      <c r="DD233"/>
      <c r="DF233"/>
      <c r="ED233" s="184"/>
      <c r="EF233" s="184"/>
      <c r="EH233" s="184"/>
      <c r="EJ233" s="184"/>
      <c r="EL233" s="184"/>
      <c r="EN233" s="184"/>
      <c r="EP233" s="184"/>
      <c r="ER233" s="184"/>
      <c r="ET233" s="184"/>
      <c r="EV233" s="184"/>
      <c r="EX233" s="184"/>
      <c r="EZ233" s="184"/>
      <c r="FB233" s="184"/>
    </row>
    <row r="234" spans="1:158">
      <c r="A234" s="184">
        <f t="shared" si="653"/>
        <v>47</v>
      </c>
      <c r="B234">
        <f t="shared" ref="B234:Y234" si="670">VLOOKUP(B84,non_table,3,FALSE)</f>
        <v>10900</v>
      </c>
      <c r="C234" s="184">
        <f t="shared" si="670"/>
        <v>13600</v>
      </c>
      <c r="D234" s="184">
        <f t="shared" si="670"/>
        <v>18000</v>
      </c>
      <c r="E234" s="184">
        <f t="shared" si="670"/>
        <v>21600</v>
      </c>
      <c r="F234" s="184">
        <f t="shared" si="670"/>
        <v>10900</v>
      </c>
      <c r="G234" s="184">
        <f t="shared" si="670"/>
        <v>13600</v>
      </c>
      <c r="H234" s="184">
        <f t="shared" si="670"/>
        <v>18000</v>
      </c>
      <c r="I234" s="184">
        <f t="shared" si="670"/>
        <v>10900</v>
      </c>
      <c r="J234" s="184">
        <f t="shared" si="670"/>
        <v>14400</v>
      </c>
      <c r="K234" s="184">
        <f t="shared" si="670"/>
        <v>18000</v>
      </c>
      <c r="L234" s="184">
        <f t="shared" si="670"/>
        <v>21600</v>
      </c>
      <c r="M234" s="184">
        <f t="shared" si="670"/>
        <v>27600</v>
      </c>
      <c r="N234" s="184">
        <f t="shared" si="670"/>
        <v>14100</v>
      </c>
      <c r="O234" s="184">
        <f t="shared" si="670"/>
        <v>18100</v>
      </c>
      <c r="P234" s="184">
        <f t="shared" si="670"/>
        <v>20900</v>
      </c>
      <c r="Q234" s="184">
        <f t="shared" si="670"/>
        <v>25000</v>
      </c>
      <c r="R234" s="184">
        <f t="shared" si="670"/>
        <v>36900</v>
      </c>
      <c r="S234" s="184">
        <f t="shared" si="670"/>
        <v>22000</v>
      </c>
      <c r="T234" s="184">
        <f t="shared" si="670"/>
        <v>25000</v>
      </c>
      <c r="U234" s="184">
        <f t="shared" si="670"/>
        <v>28600</v>
      </c>
      <c r="V234" s="184">
        <f t="shared" si="670"/>
        <v>36000</v>
      </c>
      <c r="W234" s="184">
        <f t="shared" si="670"/>
        <v>45200</v>
      </c>
      <c r="X234" s="184">
        <f t="shared" si="670"/>
        <v>54000</v>
      </c>
      <c r="Y234" s="184">
        <f t="shared" si="670"/>
        <v>54000</v>
      </c>
      <c r="Z234" s="184">
        <f t="shared" ref="Z234:AB234" si="671">VLOOKUP(Z84,non_table,3,FALSE)</f>
        <v>44000</v>
      </c>
      <c r="AA234" s="184">
        <f t="shared" si="671"/>
        <v>52000</v>
      </c>
      <c r="AB234" s="184">
        <f t="shared" si="671"/>
        <v>66000</v>
      </c>
      <c r="AC234" s="184">
        <f t="shared" ref="AC234:AR234" si="672">VLOOKUP(AC84,non_table,3,FALSE)</f>
        <v>14000</v>
      </c>
      <c r="AD234" s="184">
        <f t="shared" si="672"/>
        <v>18000</v>
      </c>
      <c r="AE234" s="184">
        <f t="shared" si="672"/>
        <v>21000</v>
      </c>
      <c r="AF234" s="184">
        <f t="shared" si="672"/>
        <v>24000</v>
      </c>
      <c r="AG234" s="184">
        <f t="shared" si="672"/>
        <v>30000</v>
      </c>
      <c r="AH234" s="184">
        <f t="shared" ref="AH234:AK234" si="673">VLOOKUP(AH84,non_table,3,FALSE)</f>
        <v>19000</v>
      </c>
      <c r="AI234" s="184">
        <f t="shared" si="673"/>
        <v>22800</v>
      </c>
      <c r="AJ234" s="184">
        <f t="shared" si="673"/>
        <v>25000</v>
      </c>
      <c r="AK234" s="184">
        <f t="shared" si="673"/>
        <v>29000</v>
      </c>
      <c r="AL234" s="184">
        <f t="shared" si="672"/>
        <v>22000</v>
      </c>
      <c r="AM234" s="184">
        <f t="shared" si="672"/>
        <v>25000</v>
      </c>
      <c r="AN234" s="184">
        <f t="shared" si="672"/>
        <v>28600</v>
      </c>
      <c r="AO234" s="184">
        <f t="shared" si="672"/>
        <v>45000</v>
      </c>
      <c r="AP234" s="184">
        <f t="shared" si="672"/>
        <v>48000</v>
      </c>
      <c r="AQ234" s="184">
        <f t="shared" si="672"/>
        <v>54000</v>
      </c>
      <c r="AR234" s="184">
        <f t="shared" si="672"/>
        <v>147200</v>
      </c>
      <c r="AS234" s="18">
        <f t="shared" si="566"/>
        <v>8478.2608695652179</v>
      </c>
      <c r="AT234" s="184" t="str">
        <f t="shared" si="570"/>
        <v/>
      </c>
      <c r="AU234" s="184" t="str">
        <f t="shared" si="571"/>
        <v/>
      </c>
      <c r="AV234" s="184" t="str">
        <f t="shared" si="572"/>
        <v/>
      </c>
      <c r="AW234" s="184" t="str">
        <f t="shared" si="573"/>
        <v/>
      </c>
      <c r="AX234" s="184" t="str">
        <f t="shared" si="574"/>
        <v/>
      </c>
      <c r="AY234" s="184" t="str">
        <f t="shared" si="575"/>
        <v/>
      </c>
      <c r="AZ234" s="184" t="str">
        <f t="shared" si="576"/>
        <v/>
      </c>
      <c r="BA234" s="184" t="str">
        <f t="shared" si="577"/>
        <v/>
      </c>
      <c r="BB234" s="184" t="str">
        <f t="shared" si="578"/>
        <v/>
      </c>
      <c r="BC234" s="184" t="str">
        <f t="shared" si="579"/>
        <v/>
      </c>
      <c r="BD234" s="184" t="str">
        <f t="shared" si="580"/>
        <v/>
      </c>
      <c r="BE234" s="184" t="str">
        <f t="shared" si="581"/>
        <v/>
      </c>
      <c r="BF234" s="184" t="str">
        <f t="shared" si="582"/>
        <v/>
      </c>
      <c r="BG234" s="184" t="str">
        <f t="shared" si="583"/>
        <v/>
      </c>
      <c r="BH234" s="184" t="str">
        <f t="shared" si="584"/>
        <v/>
      </c>
      <c r="BI234" s="184" t="str">
        <f t="shared" si="585"/>
        <v/>
      </c>
      <c r="BJ234" s="184" t="str">
        <f t="shared" si="586"/>
        <v/>
      </c>
      <c r="BK234" s="184" t="str">
        <f t="shared" si="587"/>
        <v/>
      </c>
      <c r="BL234" s="184" t="str">
        <f t="shared" si="588"/>
        <v/>
      </c>
      <c r="BM234" s="184" t="str">
        <f t="shared" si="589"/>
        <v/>
      </c>
      <c r="BN234" s="184" t="str">
        <f t="shared" si="590"/>
        <v/>
      </c>
      <c r="BO234" s="184" t="str">
        <f t="shared" si="591"/>
        <v/>
      </c>
      <c r="BP234" s="184" t="str">
        <f t="shared" si="592"/>
        <v/>
      </c>
      <c r="BQ234" s="184" t="str">
        <f t="shared" si="593"/>
        <v/>
      </c>
      <c r="BR234" s="184" t="str">
        <f t="shared" si="660"/>
        <v/>
      </c>
      <c r="BS234" s="184" t="str">
        <f t="shared" si="660"/>
        <v/>
      </c>
      <c r="BT234" s="184" t="str">
        <f t="shared" si="660"/>
        <v/>
      </c>
      <c r="BU234" s="184" t="str">
        <f t="shared" si="595"/>
        <v/>
      </c>
      <c r="BV234" s="184" t="str">
        <f t="shared" si="596"/>
        <v/>
      </c>
      <c r="BW234" s="184" t="str">
        <f t="shared" si="597"/>
        <v/>
      </c>
      <c r="BX234" s="184" t="str">
        <f t="shared" si="598"/>
        <v/>
      </c>
      <c r="BY234" s="184" t="str">
        <f t="shared" si="599"/>
        <v/>
      </c>
      <c r="BZ234" s="184" t="str">
        <f t="shared" si="600"/>
        <v/>
      </c>
      <c r="CA234" s="184" t="str">
        <f t="shared" si="601"/>
        <v/>
      </c>
      <c r="CB234" s="184" t="str">
        <f t="shared" si="602"/>
        <v/>
      </c>
      <c r="CC234" s="184" t="str">
        <f t="shared" si="603"/>
        <v/>
      </c>
      <c r="CD234" s="184" t="str">
        <f t="shared" si="604"/>
        <v/>
      </c>
      <c r="CE234" s="184" t="str">
        <f t="shared" si="605"/>
        <v/>
      </c>
      <c r="CF234" s="184" t="str">
        <f t="shared" si="606"/>
        <v/>
      </c>
      <c r="CG234" s="184" t="str">
        <f t="shared" si="607"/>
        <v/>
      </c>
      <c r="CH234" s="184" t="str">
        <f t="shared" si="608"/>
        <v/>
      </c>
      <c r="CI234" s="184" t="str">
        <f t="shared" si="609"/>
        <v/>
      </c>
      <c r="CJ234" s="184" t="str">
        <f t="shared" si="610"/>
        <v/>
      </c>
      <c r="CK234" s="184"/>
      <c r="CM234" s="184"/>
      <c r="CN234"/>
      <c r="CP234"/>
      <c r="CR234"/>
      <c r="CT234"/>
      <c r="CV234"/>
      <c r="CX234"/>
      <c r="CZ234"/>
      <c r="DB234"/>
      <c r="DD234"/>
      <c r="DF234"/>
      <c r="ED234" s="184"/>
      <c r="EF234" s="184"/>
      <c r="EH234" s="184"/>
      <c r="EJ234" s="184"/>
      <c r="EL234" s="184"/>
      <c r="EN234" s="184"/>
      <c r="EP234" s="184"/>
      <c r="ER234" s="184"/>
      <c r="ET234" s="184"/>
      <c r="EV234" s="184"/>
      <c r="EX234" s="184"/>
      <c r="EZ234" s="184"/>
      <c r="FB234" s="184"/>
    </row>
    <row r="235" spans="1:158">
      <c r="A235" s="184">
        <f t="shared" si="653"/>
        <v>47.5</v>
      </c>
      <c r="B235" s="18">
        <f>B234+(B$234-B$233)/2</f>
        <v>10935</v>
      </c>
      <c r="C235" s="18">
        <f t="shared" ref="C235:Y246" si="674">C234+(C$234-C$233)/2</f>
        <v>13638.33333333335</v>
      </c>
      <c r="D235" s="18">
        <f t="shared" si="674"/>
        <v>18050.833333333336</v>
      </c>
      <c r="E235" s="18">
        <f t="shared" si="674"/>
        <v>21670.833333333321</v>
      </c>
      <c r="F235" s="18">
        <f t="shared" si="674"/>
        <v>10939.166666666661</v>
      </c>
      <c r="G235" s="18">
        <f t="shared" si="674"/>
        <v>13644.16666666665</v>
      </c>
      <c r="H235" s="18">
        <f t="shared" si="674"/>
        <v>18050</v>
      </c>
      <c r="I235" s="18">
        <f t="shared" si="674"/>
        <v>10935.833333333341</v>
      </c>
      <c r="J235" s="18">
        <f t="shared" si="674"/>
        <v>14446.66666666665</v>
      </c>
      <c r="K235" s="18">
        <f t="shared" si="674"/>
        <v>18055.833333333339</v>
      </c>
      <c r="L235" s="18">
        <f t="shared" si="674"/>
        <v>21668.333333333318</v>
      </c>
      <c r="M235" s="18">
        <f t="shared" si="674"/>
        <v>27696.666666666701</v>
      </c>
      <c r="N235" s="18">
        <f t="shared" si="674"/>
        <v>14127.5</v>
      </c>
      <c r="O235" s="18">
        <f t="shared" si="674"/>
        <v>18150.833333333336</v>
      </c>
      <c r="P235" s="18">
        <f t="shared" si="674"/>
        <v>20937.5</v>
      </c>
      <c r="Q235" s="18">
        <f t="shared" si="674"/>
        <v>25056.666666666701</v>
      </c>
      <c r="R235" s="18">
        <f t="shared" si="674"/>
        <v>37002.5</v>
      </c>
      <c r="S235" s="18">
        <f t="shared" si="674"/>
        <v>22054.166666666693</v>
      </c>
      <c r="T235" s="18">
        <f t="shared" si="674"/>
        <v>25057.083333333299</v>
      </c>
      <c r="U235" s="18">
        <f t="shared" si="674"/>
        <v>28660.536666666656</v>
      </c>
      <c r="V235" s="18">
        <f t="shared" si="674"/>
        <v>36088.199999999953</v>
      </c>
      <c r="W235" s="18">
        <f t="shared" si="674"/>
        <v>45310.739999999918</v>
      </c>
      <c r="X235" s="18">
        <f t="shared" si="674"/>
        <v>54179.550000000047</v>
      </c>
      <c r="Y235" s="18">
        <f t="shared" si="674"/>
        <v>54091.666666666599</v>
      </c>
      <c r="Z235" s="18">
        <f t="shared" ref="Z235:AB245" si="675">Z234+(Z$234-Z$233)/2</f>
        <v>44114.666666666613</v>
      </c>
      <c r="AA235" s="18">
        <f t="shared" si="675"/>
        <v>52109.333333333401</v>
      </c>
      <c r="AB235" s="18">
        <f t="shared" si="675"/>
        <v>66143</v>
      </c>
      <c r="AC235" s="18">
        <f>AC234+AC$234*0.05</f>
        <v>14700</v>
      </c>
      <c r="AD235" s="18">
        <f t="shared" ref="AD235:AR250" si="676">AD234+AD$234*0.05</f>
        <v>18900</v>
      </c>
      <c r="AE235" s="18">
        <f t="shared" si="676"/>
        <v>22050</v>
      </c>
      <c r="AF235" s="18">
        <f t="shared" si="676"/>
        <v>25200</v>
      </c>
      <c r="AG235" s="18">
        <f t="shared" si="676"/>
        <v>31500</v>
      </c>
      <c r="AH235" s="18">
        <f t="shared" ref="AH235:AK235" si="677">AH234+AH$234*0.05</f>
        <v>19950</v>
      </c>
      <c r="AI235" s="18">
        <f t="shared" si="677"/>
        <v>23940</v>
      </c>
      <c r="AJ235" s="18">
        <f t="shared" si="677"/>
        <v>26250</v>
      </c>
      <c r="AK235" s="18">
        <f t="shared" si="677"/>
        <v>30450</v>
      </c>
      <c r="AL235" s="18">
        <f t="shared" si="676"/>
        <v>23100</v>
      </c>
      <c r="AM235" s="18">
        <f t="shared" si="676"/>
        <v>26250</v>
      </c>
      <c r="AN235" s="18">
        <f t="shared" si="676"/>
        <v>30030</v>
      </c>
      <c r="AO235" s="18">
        <f t="shared" si="676"/>
        <v>47250</v>
      </c>
      <c r="AP235" s="18">
        <f t="shared" si="676"/>
        <v>50400</v>
      </c>
      <c r="AQ235" s="18">
        <f t="shared" si="676"/>
        <v>56700</v>
      </c>
      <c r="AR235" s="18">
        <f t="shared" si="676"/>
        <v>154560</v>
      </c>
      <c r="AS235" s="18">
        <f t="shared" si="566"/>
        <v>8152.173913043478</v>
      </c>
      <c r="AT235" s="184" t="str">
        <f t="shared" si="570"/>
        <v/>
      </c>
      <c r="AU235" s="184" t="str">
        <f t="shared" si="571"/>
        <v/>
      </c>
      <c r="AV235" s="184" t="str">
        <f t="shared" si="572"/>
        <v/>
      </c>
      <c r="AW235" s="184" t="str">
        <f t="shared" si="573"/>
        <v/>
      </c>
      <c r="AX235" s="184" t="str">
        <f t="shared" si="574"/>
        <v/>
      </c>
      <c r="AY235" s="184" t="str">
        <f t="shared" si="575"/>
        <v/>
      </c>
      <c r="AZ235" s="184" t="str">
        <f t="shared" si="576"/>
        <v/>
      </c>
      <c r="BA235" s="184" t="str">
        <f t="shared" si="577"/>
        <v/>
      </c>
      <c r="BB235" s="184" t="str">
        <f t="shared" si="578"/>
        <v/>
      </c>
      <c r="BC235" s="184" t="str">
        <f t="shared" si="579"/>
        <v/>
      </c>
      <c r="BD235" s="184" t="str">
        <f t="shared" si="580"/>
        <v/>
      </c>
      <c r="BE235" s="184" t="str">
        <f t="shared" si="581"/>
        <v/>
      </c>
      <c r="BF235" s="184" t="str">
        <f t="shared" si="582"/>
        <v/>
      </c>
      <c r="BG235" s="184" t="str">
        <f t="shared" si="583"/>
        <v/>
      </c>
      <c r="BH235" s="184" t="str">
        <f t="shared" si="584"/>
        <v/>
      </c>
      <c r="BI235" s="184" t="str">
        <f t="shared" si="585"/>
        <v/>
      </c>
      <c r="BJ235" s="184" t="str">
        <f t="shared" si="586"/>
        <v/>
      </c>
      <c r="BK235" s="184" t="str">
        <f t="shared" si="587"/>
        <v/>
      </c>
      <c r="BL235" s="184" t="str">
        <f t="shared" si="588"/>
        <v/>
      </c>
      <c r="BM235" s="184" t="str">
        <f t="shared" si="589"/>
        <v/>
      </c>
      <c r="BN235" s="184" t="str">
        <f t="shared" si="590"/>
        <v/>
      </c>
      <c r="BO235" s="184" t="str">
        <f t="shared" si="591"/>
        <v/>
      </c>
      <c r="BP235" s="184" t="str">
        <f t="shared" si="592"/>
        <v/>
      </c>
      <c r="BQ235" s="184" t="str">
        <f t="shared" si="593"/>
        <v/>
      </c>
      <c r="BR235" s="184" t="str">
        <f t="shared" si="660"/>
        <v/>
      </c>
      <c r="BS235" s="184" t="str">
        <f t="shared" si="660"/>
        <v/>
      </c>
      <c r="BT235" s="184" t="str">
        <f t="shared" si="660"/>
        <v/>
      </c>
      <c r="BU235" s="184" t="str">
        <f t="shared" si="595"/>
        <v/>
      </c>
      <c r="BV235" s="184" t="str">
        <f t="shared" si="596"/>
        <v/>
      </c>
      <c r="BW235" s="184" t="str">
        <f t="shared" si="597"/>
        <v/>
      </c>
      <c r="BX235" s="184" t="str">
        <f t="shared" si="598"/>
        <v/>
      </c>
      <c r="BY235" s="184" t="str">
        <f t="shared" si="599"/>
        <v/>
      </c>
      <c r="BZ235" s="184" t="str">
        <f t="shared" si="600"/>
        <v/>
      </c>
      <c r="CA235" s="184" t="str">
        <f t="shared" si="601"/>
        <v/>
      </c>
      <c r="CB235" s="184" t="str">
        <f t="shared" si="602"/>
        <v/>
      </c>
      <c r="CC235" s="184" t="str">
        <f t="shared" si="603"/>
        <v/>
      </c>
      <c r="CD235" s="184" t="str">
        <f t="shared" si="604"/>
        <v/>
      </c>
      <c r="CE235" s="184" t="str">
        <f t="shared" si="605"/>
        <v/>
      </c>
      <c r="CF235" s="184" t="str">
        <f t="shared" si="606"/>
        <v/>
      </c>
      <c r="CG235" s="184" t="str">
        <f t="shared" si="607"/>
        <v/>
      </c>
      <c r="CH235" s="184" t="str">
        <f t="shared" si="608"/>
        <v/>
      </c>
      <c r="CI235" s="184" t="str">
        <f t="shared" si="609"/>
        <v/>
      </c>
      <c r="CJ235" s="184" t="str">
        <f t="shared" si="610"/>
        <v/>
      </c>
      <c r="CK235" s="184"/>
      <c r="CM235" s="184"/>
      <c r="CN235"/>
      <c r="CP235"/>
      <c r="CR235"/>
      <c r="CT235"/>
      <c r="CV235"/>
      <c r="CX235"/>
      <c r="CZ235"/>
      <c r="DB235"/>
      <c r="DD235"/>
      <c r="DF235"/>
      <c r="ED235" s="184"/>
      <c r="EF235" s="184"/>
      <c r="EH235" s="184"/>
      <c r="EJ235" s="184"/>
      <c r="EL235" s="184"/>
      <c r="EN235" s="184"/>
      <c r="EP235" s="184"/>
      <c r="ER235" s="184"/>
      <c r="ET235" s="184"/>
      <c r="EV235" s="184"/>
      <c r="EX235" s="184"/>
      <c r="EZ235" s="184"/>
      <c r="FB235" s="184"/>
    </row>
    <row r="236" spans="1:158">
      <c r="A236" s="184">
        <f t="shared" si="653"/>
        <v>48</v>
      </c>
      <c r="B236" s="18">
        <f t="shared" ref="B236:B282" si="678">B235+(B$234-B$233)/2</f>
        <v>10970</v>
      </c>
      <c r="C236" s="18">
        <f t="shared" si="674"/>
        <v>13676.666666666701</v>
      </c>
      <c r="D236" s="18">
        <f t="shared" si="674"/>
        <v>18101.666666666672</v>
      </c>
      <c r="E236" s="18">
        <f t="shared" si="674"/>
        <v>21741.666666666642</v>
      </c>
      <c r="F236" s="18">
        <f t="shared" si="674"/>
        <v>10978.333333333321</v>
      </c>
      <c r="G236" s="18">
        <f t="shared" si="674"/>
        <v>13688.333333333299</v>
      </c>
      <c r="H236" s="18">
        <f t="shared" si="674"/>
        <v>18100</v>
      </c>
      <c r="I236" s="18">
        <f t="shared" si="674"/>
        <v>10971.666666666682</v>
      </c>
      <c r="J236" s="18">
        <f t="shared" si="674"/>
        <v>14493.333333333299</v>
      </c>
      <c r="K236" s="18">
        <f t="shared" si="674"/>
        <v>18111.666666666679</v>
      </c>
      <c r="L236" s="18">
        <f t="shared" si="674"/>
        <v>21736.666666666635</v>
      </c>
      <c r="M236" s="18">
        <f t="shared" si="674"/>
        <v>27793.333333333401</v>
      </c>
      <c r="N236" s="18">
        <f t="shared" si="674"/>
        <v>14155</v>
      </c>
      <c r="O236" s="18">
        <f t="shared" si="674"/>
        <v>18201.666666666672</v>
      </c>
      <c r="P236" s="18">
        <f t="shared" si="674"/>
        <v>20975</v>
      </c>
      <c r="Q236" s="18">
        <f t="shared" si="674"/>
        <v>25113.333333333401</v>
      </c>
      <c r="R236" s="18">
        <f t="shared" si="674"/>
        <v>37105</v>
      </c>
      <c r="S236" s="18">
        <f t="shared" si="674"/>
        <v>22108.333333333387</v>
      </c>
      <c r="T236" s="18">
        <f t="shared" si="674"/>
        <v>25114.166666666599</v>
      </c>
      <c r="U236" s="18">
        <f t="shared" si="674"/>
        <v>28721.073333333312</v>
      </c>
      <c r="V236" s="18">
        <f t="shared" si="674"/>
        <v>36176.399999999907</v>
      </c>
      <c r="W236" s="18">
        <f t="shared" si="674"/>
        <v>45421.479999999836</v>
      </c>
      <c r="X236" s="18">
        <f t="shared" si="674"/>
        <v>54359.100000000093</v>
      </c>
      <c r="Y236" s="18">
        <f t="shared" si="674"/>
        <v>54183.333333333198</v>
      </c>
      <c r="Z236" s="18">
        <f t="shared" si="675"/>
        <v>44229.333333333227</v>
      </c>
      <c r="AA236" s="18">
        <f t="shared" si="675"/>
        <v>52218.666666666802</v>
      </c>
      <c r="AB236" s="18">
        <f t="shared" si="675"/>
        <v>66286</v>
      </c>
      <c r="AC236" s="18">
        <f t="shared" ref="AC236:AC282" si="679">AC235+AC$234*0.05</f>
        <v>15400</v>
      </c>
      <c r="AD236" s="18">
        <f t="shared" si="676"/>
        <v>19800</v>
      </c>
      <c r="AE236" s="18">
        <f t="shared" si="676"/>
        <v>23100</v>
      </c>
      <c r="AF236" s="18">
        <f t="shared" si="676"/>
        <v>26400</v>
      </c>
      <c r="AG236" s="18">
        <f t="shared" si="676"/>
        <v>33000</v>
      </c>
      <c r="AH236" s="18">
        <f t="shared" ref="AH236:AK236" si="680">AH235+AH$234*0.05</f>
        <v>20900</v>
      </c>
      <c r="AI236" s="18">
        <f t="shared" si="680"/>
        <v>25080</v>
      </c>
      <c r="AJ236" s="18">
        <f t="shared" si="680"/>
        <v>27500</v>
      </c>
      <c r="AK236" s="18">
        <f t="shared" si="680"/>
        <v>31900</v>
      </c>
      <c r="AL236" s="18">
        <f t="shared" si="676"/>
        <v>24200</v>
      </c>
      <c r="AM236" s="18">
        <f t="shared" si="676"/>
        <v>27500</v>
      </c>
      <c r="AN236" s="18">
        <f t="shared" si="676"/>
        <v>31460</v>
      </c>
      <c r="AO236" s="18">
        <f t="shared" si="676"/>
        <v>49500</v>
      </c>
      <c r="AP236" s="18">
        <f t="shared" si="676"/>
        <v>52800</v>
      </c>
      <c r="AQ236" s="18">
        <f t="shared" si="676"/>
        <v>59400</v>
      </c>
      <c r="AR236" s="18">
        <f t="shared" si="676"/>
        <v>161920</v>
      </c>
      <c r="AS236" s="18">
        <f t="shared" si="566"/>
        <v>7826.086956521739</v>
      </c>
      <c r="AT236" s="184" t="str">
        <f t="shared" si="570"/>
        <v/>
      </c>
      <c r="AU236" s="184" t="str">
        <f t="shared" si="571"/>
        <v/>
      </c>
      <c r="AV236" s="184" t="str">
        <f t="shared" si="572"/>
        <v/>
      </c>
      <c r="AW236" s="184" t="str">
        <f t="shared" si="573"/>
        <v/>
      </c>
      <c r="AX236" s="184" t="str">
        <f t="shared" si="574"/>
        <v/>
      </c>
      <c r="AY236" s="184" t="str">
        <f t="shared" si="575"/>
        <v/>
      </c>
      <c r="AZ236" s="184" t="str">
        <f t="shared" si="576"/>
        <v/>
      </c>
      <c r="BA236" s="184" t="str">
        <f t="shared" si="577"/>
        <v/>
      </c>
      <c r="BB236" s="184" t="str">
        <f t="shared" si="578"/>
        <v/>
      </c>
      <c r="BC236" s="184" t="str">
        <f t="shared" si="579"/>
        <v/>
      </c>
      <c r="BD236" s="184" t="str">
        <f t="shared" si="580"/>
        <v/>
      </c>
      <c r="BE236" s="184" t="str">
        <f t="shared" si="581"/>
        <v/>
      </c>
      <c r="BF236" s="184" t="str">
        <f t="shared" si="582"/>
        <v/>
      </c>
      <c r="BG236" s="184" t="str">
        <f t="shared" si="583"/>
        <v/>
      </c>
      <c r="BH236" s="184" t="str">
        <f t="shared" si="584"/>
        <v/>
      </c>
      <c r="BI236" s="184" t="str">
        <f t="shared" si="585"/>
        <v/>
      </c>
      <c r="BJ236" s="184" t="str">
        <f t="shared" si="586"/>
        <v/>
      </c>
      <c r="BK236" s="184" t="str">
        <f t="shared" si="587"/>
        <v/>
      </c>
      <c r="BL236" s="184" t="str">
        <f t="shared" si="588"/>
        <v/>
      </c>
      <c r="BM236" s="184" t="str">
        <f t="shared" si="589"/>
        <v/>
      </c>
      <c r="BN236" s="184" t="str">
        <f t="shared" si="590"/>
        <v/>
      </c>
      <c r="BO236" s="184" t="str">
        <f t="shared" si="591"/>
        <v/>
      </c>
      <c r="BP236" s="184" t="str">
        <f t="shared" si="592"/>
        <v/>
      </c>
      <c r="BQ236" s="184" t="str">
        <f t="shared" si="593"/>
        <v/>
      </c>
      <c r="BR236" s="184" t="str">
        <f t="shared" si="660"/>
        <v/>
      </c>
      <c r="BS236" s="184" t="str">
        <f t="shared" si="660"/>
        <v/>
      </c>
      <c r="BT236" s="184" t="str">
        <f t="shared" si="660"/>
        <v/>
      </c>
      <c r="BU236" s="184" t="str">
        <f t="shared" si="595"/>
        <v/>
      </c>
      <c r="BV236" s="184" t="str">
        <f t="shared" si="596"/>
        <v/>
      </c>
      <c r="BW236" s="184" t="str">
        <f t="shared" si="597"/>
        <v/>
      </c>
      <c r="BX236" s="184" t="str">
        <f t="shared" si="598"/>
        <v/>
      </c>
      <c r="BY236" s="184" t="str">
        <f t="shared" si="599"/>
        <v/>
      </c>
      <c r="BZ236" s="184" t="str">
        <f t="shared" si="600"/>
        <v/>
      </c>
      <c r="CA236" s="184" t="str">
        <f t="shared" si="601"/>
        <v/>
      </c>
      <c r="CB236" s="184" t="str">
        <f t="shared" si="602"/>
        <v/>
      </c>
      <c r="CC236" s="184" t="str">
        <f t="shared" si="603"/>
        <v/>
      </c>
      <c r="CD236" s="184" t="str">
        <f t="shared" si="604"/>
        <v/>
      </c>
      <c r="CE236" s="184" t="str">
        <f t="shared" si="605"/>
        <v/>
      </c>
      <c r="CF236" s="184" t="str">
        <f t="shared" si="606"/>
        <v/>
      </c>
      <c r="CG236" s="184" t="str">
        <f t="shared" si="607"/>
        <v/>
      </c>
      <c r="CH236" s="184" t="str">
        <f t="shared" si="608"/>
        <v/>
      </c>
      <c r="CI236" s="184" t="str">
        <f t="shared" si="609"/>
        <v/>
      </c>
      <c r="CJ236" s="184" t="str">
        <f t="shared" si="610"/>
        <v/>
      </c>
      <c r="CK236" s="184"/>
      <c r="CM236" s="184"/>
      <c r="CN236"/>
      <c r="CP236"/>
      <c r="CR236"/>
      <c r="CT236"/>
      <c r="CV236"/>
      <c r="CX236"/>
      <c r="CZ236"/>
      <c r="DB236"/>
      <c r="DD236"/>
      <c r="DF236"/>
      <c r="ED236" s="184"/>
      <c r="EF236" s="184"/>
      <c r="EH236" s="184"/>
      <c r="EJ236" s="184"/>
      <c r="EL236" s="184"/>
      <c r="EN236" s="184"/>
      <c r="EP236" s="184"/>
      <c r="ER236" s="184"/>
      <c r="ET236" s="184"/>
      <c r="EV236" s="184"/>
      <c r="EX236" s="184"/>
      <c r="EZ236" s="184"/>
      <c r="FB236" s="184"/>
    </row>
    <row r="237" spans="1:158">
      <c r="A237" s="184">
        <f t="shared" si="653"/>
        <v>48.5</v>
      </c>
      <c r="B237" s="18">
        <f t="shared" si="678"/>
        <v>11005</v>
      </c>
      <c r="C237" s="18">
        <f t="shared" si="674"/>
        <v>13715.000000000051</v>
      </c>
      <c r="D237" s="18">
        <f t="shared" si="674"/>
        <v>18152.500000000007</v>
      </c>
      <c r="E237" s="18">
        <f t="shared" si="674"/>
        <v>21812.499999999964</v>
      </c>
      <c r="F237" s="18">
        <f t="shared" si="674"/>
        <v>11017.499999999982</v>
      </c>
      <c r="G237" s="18">
        <f t="shared" si="674"/>
        <v>13732.499999999949</v>
      </c>
      <c r="H237" s="18">
        <f t="shared" si="674"/>
        <v>18150</v>
      </c>
      <c r="I237" s="18">
        <f t="shared" si="674"/>
        <v>11007.500000000024</v>
      </c>
      <c r="J237" s="18">
        <f t="shared" si="674"/>
        <v>14539.999999999949</v>
      </c>
      <c r="K237" s="18">
        <f t="shared" si="674"/>
        <v>18167.500000000018</v>
      </c>
      <c r="L237" s="18">
        <f t="shared" si="674"/>
        <v>21804.999999999953</v>
      </c>
      <c r="M237" s="18">
        <f t="shared" si="674"/>
        <v>27890.000000000102</v>
      </c>
      <c r="N237" s="18">
        <f t="shared" si="674"/>
        <v>14182.5</v>
      </c>
      <c r="O237" s="18">
        <f t="shared" si="674"/>
        <v>18252.500000000007</v>
      </c>
      <c r="P237" s="18">
        <f t="shared" si="674"/>
        <v>21012.5</v>
      </c>
      <c r="Q237" s="18">
        <f t="shared" si="674"/>
        <v>25170.000000000102</v>
      </c>
      <c r="R237" s="18">
        <f t="shared" si="674"/>
        <v>37207.5</v>
      </c>
      <c r="S237" s="18">
        <f t="shared" si="674"/>
        <v>22162.50000000008</v>
      </c>
      <c r="T237" s="18">
        <f t="shared" si="674"/>
        <v>25171.249999999898</v>
      </c>
      <c r="U237" s="18">
        <f t="shared" si="674"/>
        <v>28781.609999999968</v>
      </c>
      <c r="V237" s="18">
        <f t="shared" si="674"/>
        <v>36264.59999999986</v>
      </c>
      <c r="W237" s="18">
        <f t="shared" si="674"/>
        <v>45532.219999999754</v>
      </c>
      <c r="X237" s="18">
        <f t="shared" si="674"/>
        <v>54538.65000000014</v>
      </c>
      <c r="Y237" s="18">
        <f t="shared" si="674"/>
        <v>54274.999999999796</v>
      </c>
      <c r="Z237" s="18">
        <f t="shared" si="675"/>
        <v>44343.99999999984</v>
      </c>
      <c r="AA237" s="18">
        <f t="shared" si="675"/>
        <v>52328.000000000204</v>
      </c>
      <c r="AB237" s="18">
        <f t="shared" si="675"/>
        <v>66429</v>
      </c>
      <c r="AC237" s="18">
        <f t="shared" si="679"/>
        <v>16100</v>
      </c>
      <c r="AD237" s="18">
        <f t="shared" si="676"/>
        <v>20700</v>
      </c>
      <c r="AE237" s="18">
        <f t="shared" si="676"/>
        <v>24150</v>
      </c>
      <c r="AF237" s="18">
        <f t="shared" si="676"/>
        <v>27600</v>
      </c>
      <c r="AG237" s="18">
        <f t="shared" si="676"/>
        <v>34500</v>
      </c>
      <c r="AH237" s="18">
        <f t="shared" ref="AH237:AK237" si="681">AH236+AH$234*0.05</f>
        <v>21850</v>
      </c>
      <c r="AI237" s="18">
        <f t="shared" si="681"/>
        <v>26220</v>
      </c>
      <c r="AJ237" s="18">
        <f t="shared" si="681"/>
        <v>28750</v>
      </c>
      <c r="AK237" s="18">
        <f t="shared" si="681"/>
        <v>33350</v>
      </c>
      <c r="AL237" s="18">
        <f t="shared" si="676"/>
        <v>25300</v>
      </c>
      <c r="AM237" s="18">
        <f t="shared" si="676"/>
        <v>28750</v>
      </c>
      <c r="AN237" s="18">
        <f t="shared" si="676"/>
        <v>32890</v>
      </c>
      <c r="AO237" s="18">
        <f t="shared" si="676"/>
        <v>51750</v>
      </c>
      <c r="AP237" s="18">
        <f t="shared" si="676"/>
        <v>55200</v>
      </c>
      <c r="AQ237" s="18">
        <f t="shared" si="676"/>
        <v>62100</v>
      </c>
      <c r="AR237" s="18">
        <f t="shared" si="676"/>
        <v>169280</v>
      </c>
      <c r="AS237" s="18">
        <f t="shared" si="566"/>
        <v>7500</v>
      </c>
      <c r="AT237" s="184" t="str">
        <f t="shared" si="570"/>
        <v/>
      </c>
      <c r="AU237" s="184" t="str">
        <f t="shared" si="571"/>
        <v/>
      </c>
      <c r="AV237" s="184" t="str">
        <f t="shared" si="572"/>
        <v/>
      </c>
      <c r="AW237" s="184" t="str">
        <f t="shared" si="573"/>
        <v/>
      </c>
      <c r="AX237" s="184" t="str">
        <f t="shared" si="574"/>
        <v/>
      </c>
      <c r="AY237" s="184" t="str">
        <f t="shared" si="575"/>
        <v/>
      </c>
      <c r="AZ237" s="184" t="str">
        <f t="shared" si="576"/>
        <v/>
      </c>
      <c r="BA237" s="184" t="str">
        <f t="shared" si="577"/>
        <v/>
      </c>
      <c r="BB237" s="184" t="str">
        <f t="shared" si="578"/>
        <v/>
      </c>
      <c r="BC237" s="184" t="str">
        <f t="shared" si="579"/>
        <v/>
      </c>
      <c r="BD237" s="184" t="str">
        <f t="shared" si="580"/>
        <v/>
      </c>
      <c r="BE237" s="184" t="str">
        <f t="shared" si="581"/>
        <v/>
      </c>
      <c r="BF237" s="184" t="str">
        <f t="shared" si="582"/>
        <v/>
      </c>
      <c r="BG237" s="184" t="str">
        <f t="shared" si="583"/>
        <v/>
      </c>
      <c r="BH237" s="184" t="str">
        <f t="shared" si="584"/>
        <v/>
      </c>
      <c r="BI237" s="184" t="str">
        <f t="shared" si="585"/>
        <v/>
      </c>
      <c r="BJ237" s="184" t="str">
        <f t="shared" si="586"/>
        <v/>
      </c>
      <c r="BK237" s="184" t="str">
        <f t="shared" si="587"/>
        <v/>
      </c>
      <c r="BL237" s="184" t="str">
        <f t="shared" si="588"/>
        <v/>
      </c>
      <c r="BM237" s="184" t="str">
        <f t="shared" si="589"/>
        <v/>
      </c>
      <c r="BN237" s="184" t="str">
        <f t="shared" si="590"/>
        <v/>
      </c>
      <c r="BO237" s="184" t="str">
        <f t="shared" si="591"/>
        <v/>
      </c>
      <c r="BP237" s="184" t="str">
        <f t="shared" si="592"/>
        <v/>
      </c>
      <c r="BQ237" s="184" t="str">
        <f t="shared" si="593"/>
        <v/>
      </c>
      <c r="BR237" s="184" t="str">
        <f t="shared" si="660"/>
        <v/>
      </c>
      <c r="BS237" s="184" t="str">
        <f t="shared" si="660"/>
        <v/>
      </c>
      <c r="BT237" s="184" t="str">
        <f t="shared" si="660"/>
        <v/>
      </c>
      <c r="BU237" s="184" t="str">
        <f t="shared" si="595"/>
        <v/>
      </c>
      <c r="BV237" s="184" t="str">
        <f t="shared" si="596"/>
        <v/>
      </c>
      <c r="BW237" s="184" t="str">
        <f t="shared" si="597"/>
        <v/>
      </c>
      <c r="BX237" s="184" t="str">
        <f t="shared" si="598"/>
        <v/>
      </c>
      <c r="BY237" s="184" t="str">
        <f t="shared" si="599"/>
        <v/>
      </c>
      <c r="BZ237" s="184" t="str">
        <f t="shared" si="600"/>
        <v/>
      </c>
      <c r="CA237" s="184" t="str">
        <f t="shared" si="601"/>
        <v/>
      </c>
      <c r="CB237" s="184" t="str">
        <f t="shared" si="602"/>
        <v/>
      </c>
      <c r="CC237" s="184" t="str">
        <f t="shared" si="603"/>
        <v/>
      </c>
      <c r="CD237" s="184" t="str">
        <f t="shared" si="604"/>
        <v/>
      </c>
      <c r="CE237" s="184" t="str">
        <f t="shared" si="605"/>
        <v/>
      </c>
      <c r="CF237" s="184" t="str">
        <f t="shared" si="606"/>
        <v/>
      </c>
      <c r="CG237" s="184" t="str">
        <f t="shared" si="607"/>
        <v/>
      </c>
      <c r="CH237" s="184" t="str">
        <f t="shared" si="608"/>
        <v/>
      </c>
      <c r="CI237" s="184" t="str">
        <f t="shared" si="609"/>
        <v/>
      </c>
      <c r="CJ237" s="184" t="str">
        <f t="shared" si="610"/>
        <v/>
      </c>
      <c r="CK237" s="184"/>
      <c r="CM237" s="184"/>
      <c r="CN237"/>
      <c r="CP237"/>
      <c r="CR237"/>
      <c r="CT237"/>
      <c r="CV237"/>
      <c r="CX237"/>
      <c r="CZ237"/>
      <c r="DB237"/>
      <c r="DD237"/>
      <c r="DF237"/>
      <c r="ED237" s="184"/>
      <c r="EF237" s="184"/>
      <c r="EH237" s="184"/>
      <c r="EJ237" s="184"/>
      <c r="EL237" s="184"/>
      <c r="EN237" s="184"/>
      <c r="EP237" s="184"/>
      <c r="ER237" s="184"/>
      <c r="ET237" s="184"/>
      <c r="EV237" s="184"/>
      <c r="EX237" s="184"/>
      <c r="EZ237" s="184"/>
      <c r="FB237" s="184"/>
    </row>
    <row r="238" spans="1:158">
      <c r="A238" s="184">
        <f t="shared" si="653"/>
        <v>49</v>
      </c>
      <c r="B238" s="18">
        <f t="shared" si="678"/>
        <v>11040</v>
      </c>
      <c r="C238" s="18">
        <f t="shared" si="674"/>
        <v>13753.333333333401</v>
      </c>
      <c r="D238" s="18">
        <f t="shared" si="674"/>
        <v>18203.333333333343</v>
      </c>
      <c r="E238" s="18">
        <f t="shared" si="674"/>
        <v>21883.333333333285</v>
      </c>
      <c r="F238" s="18">
        <f t="shared" si="674"/>
        <v>11056.666666666642</v>
      </c>
      <c r="G238" s="18">
        <f t="shared" si="674"/>
        <v>13776.666666666599</v>
      </c>
      <c r="H238" s="18">
        <f t="shared" si="674"/>
        <v>18200</v>
      </c>
      <c r="I238" s="18">
        <f t="shared" si="674"/>
        <v>11043.333333333365</v>
      </c>
      <c r="J238" s="18">
        <f t="shared" si="674"/>
        <v>14586.666666666599</v>
      </c>
      <c r="K238" s="18">
        <f t="shared" si="674"/>
        <v>18223.333333333358</v>
      </c>
      <c r="L238" s="18">
        <f t="shared" si="674"/>
        <v>21873.33333333327</v>
      </c>
      <c r="M238" s="18">
        <f t="shared" si="674"/>
        <v>27986.666666666802</v>
      </c>
      <c r="N238" s="18">
        <f t="shared" si="674"/>
        <v>14210</v>
      </c>
      <c r="O238" s="18">
        <f t="shared" si="674"/>
        <v>18303.333333333343</v>
      </c>
      <c r="P238" s="18">
        <f t="shared" si="674"/>
        <v>21050</v>
      </c>
      <c r="Q238" s="18">
        <f t="shared" si="674"/>
        <v>25226.666666666802</v>
      </c>
      <c r="R238" s="18">
        <f t="shared" si="674"/>
        <v>37310</v>
      </c>
      <c r="S238" s="18">
        <f t="shared" si="674"/>
        <v>22216.666666666773</v>
      </c>
      <c r="T238" s="18">
        <f t="shared" si="674"/>
        <v>25228.333333333198</v>
      </c>
      <c r="U238" s="18">
        <f t="shared" si="674"/>
        <v>28842.146666666624</v>
      </c>
      <c r="V238" s="18">
        <f t="shared" si="674"/>
        <v>36352.799999999814</v>
      </c>
      <c r="W238" s="18">
        <f t="shared" si="674"/>
        <v>45642.959999999672</v>
      </c>
      <c r="X238" s="18">
        <f t="shared" si="674"/>
        <v>54718.200000000186</v>
      </c>
      <c r="Y238" s="18">
        <f t="shared" si="674"/>
        <v>54366.666666666395</v>
      </c>
      <c r="Z238" s="18">
        <f t="shared" si="675"/>
        <v>44458.666666666453</v>
      </c>
      <c r="AA238" s="18">
        <f t="shared" si="675"/>
        <v>52437.333333333605</v>
      </c>
      <c r="AB238" s="18">
        <f t="shared" si="675"/>
        <v>66572</v>
      </c>
      <c r="AC238" s="18">
        <f t="shared" si="679"/>
        <v>16800</v>
      </c>
      <c r="AD238" s="18">
        <f t="shared" si="676"/>
        <v>21600</v>
      </c>
      <c r="AE238" s="18">
        <f t="shared" si="676"/>
        <v>25200</v>
      </c>
      <c r="AF238" s="18">
        <f t="shared" si="676"/>
        <v>28800</v>
      </c>
      <c r="AG238" s="18">
        <f t="shared" si="676"/>
        <v>36000</v>
      </c>
      <c r="AH238" s="18">
        <f t="shared" ref="AH238:AK238" si="682">AH237+AH$234*0.05</f>
        <v>22800</v>
      </c>
      <c r="AI238" s="18">
        <f t="shared" si="682"/>
        <v>27360</v>
      </c>
      <c r="AJ238" s="18">
        <f t="shared" si="682"/>
        <v>30000</v>
      </c>
      <c r="AK238" s="18">
        <f t="shared" si="682"/>
        <v>34800</v>
      </c>
      <c r="AL238" s="18">
        <f t="shared" si="676"/>
        <v>26400</v>
      </c>
      <c r="AM238" s="18">
        <f t="shared" si="676"/>
        <v>30000</v>
      </c>
      <c r="AN238" s="18">
        <f t="shared" si="676"/>
        <v>34320</v>
      </c>
      <c r="AO238" s="18">
        <f t="shared" si="676"/>
        <v>54000</v>
      </c>
      <c r="AP238" s="18">
        <f t="shared" si="676"/>
        <v>57600</v>
      </c>
      <c r="AQ238" s="18">
        <f t="shared" si="676"/>
        <v>64800</v>
      </c>
      <c r="AR238" s="18">
        <f t="shared" si="676"/>
        <v>176640</v>
      </c>
      <c r="AS238" s="18">
        <f t="shared" si="566"/>
        <v>7173.9130434782601</v>
      </c>
      <c r="AT238" s="184" t="str">
        <f t="shared" si="570"/>
        <v/>
      </c>
      <c r="AU238" s="184" t="str">
        <f t="shared" si="571"/>
        <v/>
      </c>
      <c r="AV238" s="184" t="str">
        <f t="shared" si="572"/>
        <v/>
      </c>
      <c r="AW238" s="184" t="str">
        <f t="shared" si="573"/>
        <v/>
      </c>
      <c r="AX238" s="184" t="str">
        <f t="shared" si="574"/>
        <v/>
      </c>
      <c r="AY238" s="184" t="str">
        <f t="shared" si="575"/>
        <v/>
      </c>
      <c r="AZ238" s="184" t="str">
        <f t="shared" si="576"/>
        <v/>
      </c>
      <c r="BA238" s="184" t="str">
        <f t="shared" si="577"/>
        <v/>
      </c>
      <c r="BB238" s="184" t="str">
        <f t="shared" si="578"/>
        <v/>
      </c>
      <c r="BC238" s="184" t="str">
        <f t="shared" si="579"/>
        <v/>
      </c>
      <c r="BD238" s="184" t="str">
        <f t="shared" si="580"/>
        <v/>
      </c>
      <c r="BE238" s="184" t="str">
        <f t="shared" si="581"/>
        <v/>
      </c>
      <c r="BF238" s="184" t="str">
        <f t="shared" si="582"/>
        <v/>
      </c>
      <c r="BG238" s="184" t="str">
        <f t="shared" si="583"/>
        <v/>
      </c>
      <c r="BH238" s="184" t="str">
        <f t="shared" si="584"/>
        <v/>
      </c>
      <c r="BI238" s="184" t="str">
        <f t="shared" si="585"/>
        <v/>
      </c>
      <c r="BJ238" s="184" t="str">
        <f t="shared" si="586"/>
        <v/>
      </c>
      <c r="BK238" s="184" t="str">
        <f t="shared" si="587"/>
        <v/>
      </c>
      <c r="BL238" s="184" t="str">
        <f t="shared" si="588"/>
        <v/>
      </c>
      <c r="BM238" s="184" t="str">
        <f t="shared" si="589"/>
        <v/>
      </c>
      <c r="BN238" s="184" t="str">
        <f t="shared" si="590"/>
        <v/>
      </c>
      <c r="BO238" s="184" t="str">
        <f t="shared" si="591"/>
        <v/>
      </c>
      <c r="BP238" s="184" t="str">
        <f t="shared" si="592"/>
        <v/>
      </c>
      <c r="BQ238" s="184" t="str">
        <f t="shared" si="593"/>
        <v/>
      </c>
      <c r="BR238" s="184" t="str">
        <f t="shared" si="660"/>
        <v/>
      </c>
      <c r="BS238" s="184" t="str">
        <f t="shared" si="660"/>
        <v/>
      </c>
      <c r="BT238" s="184" t="str">
        <f t="shared" si="660"/>
        <v/>
      </c>
      <c r="BU238" s="184" t="str">
        <f t="shared" si="595"/>
        <v/>
      </c>
      <c r="BV238" s="184" t="str">
        <f t="shared" si="596"/>
        <v/>
      </c>
      <c r="BW238" s="184" t="str">
        <f t="shared" si="597"/>
        <v/>
      </c>
      <c r="BX238" s="184" t="str">
        <f t="shared" si="598"/>
        <v/>
      </c>
      <c r="BY238" s="184" t="str">
        <f t="shared" si="599"/>
        <v/>
      </c>
      <c r="BZ238" s="184" t="str">
        <f t="shared" si="600"/>
        <v/>
      </c>
      <c r="CA238" s="184" t="str">
        <f t="shared" si="601"/>
        <v/>
      </c>
      <c r="CB238" s="184" t="str">
        <f t="shared" si="602"/>
        <v/>
      </c>
      <c r="CC238" s="184" t="str">
        <f t="shared" si="603"/>
        <v/>
      </c>
      <c r="CD238" s="184" t="str">
        <f t="shared" si="604"/>
        <v/>
      </c>
      <c r="CE238" s="184" t="str">
        <f t="shared" si="605"/>
        <v/>
      </c>
      <c r="CF238" s="184" t="str">
        <f t="shared" si="606"/>
        <v/>
      </c>
      <c r="CG238" s="184" t="str">
        <f t="shared" si="607"/>
        <v/>
      </c>
      <c r="CH238" s="184" t="str">
        <f t="shared" si="608"/>
        <v/>
      </c>
      <c r="CI238" s="184" t="str">
        <f t="shared" si="609"/>
        <v/>
      </c>
      <c r="CJ238" s="184" t="str">
        <f t="shared" si="610"/>
        <v/>
      </c>
      <c r="CK238" s="184"/>
      <c r="CM238" s="184"/>
      <c r="CN238"/>
      <c r="CP238"/>
      <c r="CR238"/>
      <c r="CT238"/>
      <c r="CV238"/>
      <c r="CX238"/>
      <c r="CZ238"/>
      <c r="DB238"/>
      <c r="DD238"/>
      <c r="DF238"/>
      <c r="ED238" s="184"/>
      <c r="EF238" s="184"/>
      <c r="EH238" s="184"/>
      <c r="EJ238" s="184"/>
      <c r="EL238" s="184"/>
      <c r="EN238" s="184"/>
      <c r="EP238" s="184"/>
      <c r="ER238" s="184"/>
      <c r="ET238" s="184"/>
      <c r="EV238" s="184"/>
      <c r="EX238" s="184"/>
      <c r="EZ238" s="184"/>
      <c r="FB238" s="184"/>
    </row>
    <row r="239" spans="1:158">
      <c r="A239" s="184">
        <f t="shared" si="653"/>
        <v>49.5</v>
      </c>
      <c r="B239" s="18">
        <f t="shared" si="678"/>
        <v>11075</v>
      </c>
      <c r="C239" s="18">
        <f t="shared" si="674"/>
        <v>13791.666666666752</v>
      </c>
      <c r="D239" s="18">
        <f t="shared" si="674"/>
        <v>18254.166666666679</v>
      </c>
      <c r="E239" s="18">
        <f t="shared" si="674"/>
        <v>21954.166666666606</v>
      </c>
      <c r="F239" s="18">
        <f t="shared" si="674"/>
        <v>11095.833333333303</v>
      </c>
      <c r="G239" s="18">
        <f t="shared" si="674"/>
        <v>13820.833333333248</v>
      </c>
      <c r="H239" s="18">
        <f t="shared" si="674"/>
        <v>18250</v>
      </c>
      <c r="I239" s="18">
        <f t="shared" si="674"/>
        <v>11079.166666666706</v>
      </c>
      <c r="J239" s="18">
        <f t="shared" si="674"/>
        <v>14633.333333333248</v>
      </c>
      <c r="K239" s="18">
        <f t="shared" si="674"/>
        <v>18279.166666666697</v>
      </c>
      <c r="L239" s="18">
        <f t="shared" si="674"/>
        <v>21941.666666666588</v>
      </c>
      <c r="M239" s="18">
        <f t="shared" si="674"/>
        <v>28083.333333333503</v>
      </c>
      <c r="N239" s="18">
        <f t="shared" si="674"/>
        <v>14237.5</v>
      </c>
      <c r="O239" s="18">
        <f t="shared" si="674"/>
        <v>18354.166666666679</v>
      </c>
      <c r="P239" s="18">
        <f t="shared" si="674"/>
        <v>21087.5</v>
      </c>
      <c r="Q239" s="18">
        <f t="shared" si="674"/>
        <v>25283.333333333503</v>
      </c>
      <c r="R239" s="18">
        <f t="shared" si="674"/>
        <v>37412.5</v>
      </c>
      <c r="S239" s="18">
        <f t="shared" si="674"/>
        <v>22270.833333333467</v>
      </c>
      <c r="T239" s="18">
        <f t="shared" si="674"/>
        <v>25285.416666666497</v>
      </c>
      <c r="U239" s="18">
        <f t="shared" si="674"/>
        <v>28902.68333333328</v>
      </c>
      <c r="V239" s="18">
        <f t="shared" si="674"/>
        <v>36440.999999999767</v>
      </c>
      <c r="W239" s="18">
        <f t="shared" si="674"/>
        <v>45753.69999999959</v>
      </c>
      <c r="X239" s="18">
        <f t="shared" si="674"/>
        <v>54897.750000000233</v>
      </c>
      <c r="Y239" s="18">
        <f t="shared" si="674"/>
        <v>54458.333333332994</v>
      </c>
      <c r="Z239" s="18">
        <f t="shared" si="675"/>
        <v>44573.333333333067</v>
      </c>
      <c r="AA239" s="18">
        <f t="shared" si="675"/>
        <v>52546.666666667006</v>
      </c>
      <c r="AB239" s="18">
        <f t="shared" si="675"/>
        <v>66715</v>
      </c>
      <c r="AC239" s="18">
        <f t="shared" si="679"/>
        <v>17500</v>
      </c>
      <c r="AD239" s="18">
        <f t="shared" si="676"/>
        <v>22500</v>
      </c>
      <c r="AE239" s="18">
        <f t="shared" si="676"/>
        <v>26250</v>
      </c>
      <c r="AF239" s="18">
        <f t="shared" si="676"/>
        <v>30000</v>
      </c>
      <c r="AG239" s="18">
        <f t="shared" si="676"/>
        <v>37500</v>
      </c>
      <c r="AH239" s="18">
        <f t="shared" ref="AH239:AK239" si="683">AH238+AH$234*0.05</f>
        <v>23750</v>
      </c>
      <c r="AI239" s="18">
        <f t="shared" si="683"/>
        <v>28500</v>
      </c>
      <c r="AJ239" s="18">
        <f t="shared" si="683"/>
        <v>31250</v>
      </c>
      <c r="AK239" s="18">
        <f t="shared" si="683"/>
        <v>36250</v>
      </c>
      <c r="AL239" s="18">
        <f t="shared" si="676"/>
        <v>27500</v>
      </c>
      <c r="AM239" s="18">
        <f t="shared" si="676"/>
        <v>31250</v>
      </c>
      <c r="AN239" s="18">
        <f t="shared" si="676"/>
        <v>35750</v>
      </c>
      <c r="AO239" s="18">
        <f t="shared" si="676"/>
        <v>56250</v>
      </c>
      <c r="AP239" s="18">
        <f t="shared" si="676"/>
        <v>60000</v>
      </c>
      <c r="AQ239" s="18">
        <f t="shared" si="676"/>
        <v>67500</v>
      </c>
      <c r="AR239" s="18">
        <f t="shared" si="676"/>
        <v>184000</v>
      </c>
      <c r="AS239" s="18">
        <f t="shared" si="566"/>
        <v>6847.826086956522</v>
      </c>
      <c r="AT239" s="184" t="str">
        <f t="shared" si="570"/>
        <v/>
      </c>
      <c r="AU239" s="184" t="str">
        <f t="shared" si="571"/>
        <v/>
      </c>
      <c r="AV239" s="184" t="str">
        <f t="shared" si="572"/>
        <v/>
      </c>
      <c r="AW239" s="184" t="str">
        <f t="shared" si="573"/>
        <v/>
      </c>
      <c r="AX239" s="184" t="str">
        <f t="shared" si="574"/>
        <v/>
      </c>
      <c r="AY239" s="184" t="str">
        <f t="shared" si="575"/>
        <v/>
      </c>
      <c r="AZ239" s="184" t="str">
        <f t="shared" si="576"/>
        <v/>
      </c>
      <c r="BA239" s="184" t="str">
        <f t="shared" si="577"/>
        <v/>
      </c>
      <c r="BB239" s="184" t="str">
        <f t="shared" si="578"/>
        <v/>
      </c>
      <c r="BC239" s="184" t="str">
        <f t="shared" si="579"/>
        <v/>
      </c>
      <c r="BD239" s="184" t="str">
        <f t="shared" si="580"/>
        <v/>
      </c>
      <c r="BE239" s="184" t="str">
        <f t="shared" si="581"/>
        <v/>
      </c>
      <c r="BF239" s="184" t="str">
        <f t="shared" si="582"/>
        <v/>
      </c>
      <c r="BG239" s="184" t="str">
        <f t="shared" si="583"/>
        <v/>
      </c>
      <c r="BH239" s="184" t="str">
        <f t="shared" si="584"/>
        <v/>
      </c>
      <c r="BI239" s="184" t="str">
        <f t="shared" si="585"/>
        <v/>
      </c>
      <c r="BJ239" s="184" t="str">
        <f t="shared" si="586"/>
        <v/>
      </c>
      <c r="BK239" s="184" t="str">
        <f t="shared" si="587"/>
        <v/>
      </c>
      <c r="BL239" s="184" t="str">
        <f t="shared" si="588"/>
        <v/>
      </c>
      <c r="BM239" s="184" t="str">
        <f t="shared" si="589"/>
        <v/>
      </c>
      <c r="BN239" s="184" t="str">
        <f t="shared" si="590"/>
        <v/>
      </c>
      <c r="BO239" s="184" t="str">
        <f t="shared" si="591"/>
        <v/>
      </c>
      <c r="BP239" s="184" t="str">
        <f t="shared" si="592"/>
        <v/>
      </c>
      <c r="BQ239" s="184" t="str">
        <f t="shared" si="593"/>
        <v/>
      </c>
      <c r="BR239" s="184" t="str">
        <f t="shared" si="660"/>
        <v/>
      </c>
      <c r="BS239" s="184" t="str">
        <f t="shared" si="660"/>
        <v/>
      </c>
      <c r="BT239" s="184" t="str">
        <f t="shared" si="660"/>
        <v/>
      </c>
      <c r="BU239" s="184" t="str">
        <f t="shared" si="595"/>
        <v/>
      </c>
      <c r="BV239" s="184" t="str">
        <f t="shared" si="596"/>
        <v/>
      </c>
      <c r="BW239" s="184" t="str">
        <f t="shared" si="597"/>
        <v/>
      </c>
      <c r="BX239" s="184" t="str">
        <f t="shared" si="598"/>
        <v/>
      </c>
      <c r="BY239" s="184" t="str">
        <f t="shared" si="599"/>
        <v/>
      </c>
      <c r="BZ239" s="184" t="str">
        <f t="shared" si="600"/>
        <v/>
      </c>
      <c r="CA239" s="184" t="str">
        <f t="shared" si="601"/>
        <v/>
      </c>
      <c r="CB239" s="184" t="str">
        <f t="shared" si="602"/>
        <v/>
      </c>
      <c r="CC239" s="184" t="str">
        <f t="shared" si="603"/>
        <v/>
      </c>
      <c r="CD239" s="184" t="str">
        <f t="shared" si="604"/>
        <v/>
      </c>
      <c r="CE239" s="184" t="str">
        <f t="shared" si="605"/>
        <v/>
      </c>
      <c r="CF239" s="184" t="str">
        <f t="shared" si="606"/>
        <v/>
      </c>
      <c r="CG239" s="184" t="str">
        <f t="shared" si="607"/>
        <v/>
      </c>
      <c r="CH239" s="184" t="str">
        <f t="shared" si="608"/>
        <v/>
      </c>
      <c r="CI239" s="184" t="str">
        <f t="shared" si="609"/>
        <v/>
      </c>
      <c r="CJ239" s="184" t="str">
        <f t="shared" si="610"/>
        <v/>
      </c>
      <c r="CK239" s="184"/>
      <c r="CM239" s="184"/>
      <c r="CN239"/>
      <c r="CP239"/>
      <c r="CR239"/>
      <c r="CT239"/>
      <c r="CV239"/>
      <c r="CX239"/>
      <c r="CZ239"/>
      <c r="DB239"/>
      <c r="DD239"/>
      <c r="DF239"/>
      <c r="ED239" s="184"/>
      <c r="EF239" s="184"/>
      <c r="EH239" s="184"/>
      <c r="EJ239" s="184"/>
      <c r="EL239" s="184"/>
      <c r="EN239" s="184"/>
      <c r="EP239" s="184"/>
      <c r="ER239" s="184"/>
      <c r="ET239" s="184"/>
      <c r="EV239" s="184"/>
      <c r="EX239" s="184"/>
      <c r="EZ239" s="184"/>
      <c r="FB239" s="184"/>
    </row>
    <row r="240" spans="1:158">
      <c r="A240" s="184">
        <f t="shared" si="653"/>
        <v>50</v>
      </c>
      <c r="B240" s="18">
        <f t="shared" si="678"/>
        <v>11110</v>
      </c>
      <c r="C240" s="18">
        <f t="shared" si="674"/>
        <v>13830.000000000102</v>
      </c>
      <c r="D240" s="18">
        <f t="shared" si="674"/>
        <v>18305.000000000015</v>
      </c>
      <c r="E240" s="18">
        <f t="shared" si="674"/>
        <v>22024.999999999927</v>
      </c>
      <c r="F240" s="18">
        <f t="shared" si="674"/>
        <v>11134.999999999964</v>
      </c>
      <c r="G240" s="18">
        <f t="shared" si="674"/>
        <v>13864.999999999898</v>
      </c>
      <c r="H240" s="18">
        <f t="shared" si="674"/>
        <v>18300</v>
      </c>
      <c r="I240" s="18">
        <f t="shared" si="674"/>
        <v>11115.000000000047</v>
      </c>
      <c r="J240" s="18">
        <f t="shared" si="674"/>
        <v>14679.999999999898</v>
      </c>
      <c r="K240" s="18">
        <f t="shared" si="674"/>
        <v>18335.000000000036</v>
      </c>
      <c r="L240" s="18">
        <f t="shared" si="674"/>
        <v>22009.999999999905</v>
      </c>
      <c r="M240" s="18">
        <f t="shared" si="674"/>
        <v>28180.000000000204</v>
      </c>
      <c r="N240" s="18">
        <f t="shared" si="674"/>
        <v>14265</v>
      </c>
      <c r="O240" s="18">
        <f t="shared" si="674"/>
        <v>18405.000000000015</v>
      </c>
      <c r="P240" s="18">
        <f t="shared" si="674"/>
        <v>21125</v>
      </c>
      <c r="Q240" s="18">
        <f t="shared" si="674"/>
        <v>25340.000000000204</v>
      </c>
      <c r="R240" s="18">
        <f t="shared" si="674"/>
        <v>37515</v>
      </c>
      <c r="S240" s="18">
        <f t="shared" si="674"/>
        <v>22325.00000000016</v>
      </c>
      <c r="T240" s="18">
        <f t="shared" si="674"/>
        <v>25342.499999999796</v>
      </c>
      <c r="U240" s="18">
        <f t="shared" si="674"/>
        <v>28963.219999999936</v>
      </c>
      <c r="V240" s="18">
        <f t="shared" si="674"/>
        <v>36529.199999999721</v>
      </c>
      <c r="W240" s="18">
        <f t="shared" si="674"/>
        <v>45864.439999999508</v>
      </c>
      <c r="X240" s="18">
        <f t="shared" si="674"/>
        <v>55077.300000000279</v>
      </c>
      <c r="Y240" s="18">
        <f t="shared" si="674"/>
        <v>54549.999999999593</v>
      </c>
      <c r="Z240" s="18">
        <f t="shared" si="675"/>
        <v>44687.99999999968</v>
      </c>
      <c r="AA240" s="18">
        <f t="shared" si="675"/>
        <v>52656.000000000407</v>
      </c>
      <c r="AB240" s="18">
        <f t="shared" si="675"/>
        <v>66858</v>
      </c>
      <c r="AC240" s="18">
        <f t="shared" si="679"/>
        <v>18200</v>
      </c>
      <c r="AD240" s="18">
        <f t="shared" si="676"/>
        <v>23400</v>
      </c>
      <c r="AE240" s="18">
        <f t="shared" si="676"/>
        <v>27300</v>
      </c>
      <c r="AF240" s="18">
        <f t="shared" si="676"/>
        <v>31200</v>
      </c>
      <c r="AG240" s="18">
        <f t="shared" si="676"/>
        <v>39000</v>
      </c>
      <c r="AH240" s="18">
        <f t="shared" ref="AH240:AK240" si="684">AH239+AH$234*0.05</f>
        <v>24700</v>
      </c>
      <c r="AI240" s="18">
        <f t="shared" si="684"/>
        <v>29640</v>
      </c>
      <c r="AJ240" s="18">
        <f t="shared" si="684"/>
        <v>32500</v>
      </c>
      <c r="AK240" s="18">
        <f t="shared" si="684"/>
        <v>37700</v>
      </c>
      <c r="AL240" s="18">
        <f t="shared" si="676"/>
        <v>28600</v>
      </c>
      <c r="AM240" s="18">
        <f t="shared" si="676"/>
        <v>32500</v>
      </c>
      <c r="AN240" s="18">
        <f t="shared" si="676"/>
        <v>37180</v>
      </c>
      <c r="AO240" s="18">
        <f t="shared" si="676"/>
        <v>58500</v>
      </c>
      <c r="AP240" s="18">
        <f t="shared" si="676"/>
        <v>62400</v>
      </c>
      <c r="AQ240" s="18">
        <f t="shared" si="676"/>
        <v>70200</v>
      </c>
      <c r="AR240" s="18">
        <f t="shared" si="676"/>
        <v>191360</v>
      </c>
      <c r="AS240" s="18">
        <f t="shared" si="566"/>
        <v>6521.739130434783</v>
      </c>
      <c r="AT240" s="184" t="str">
        <f t="shared" si="570"/>
        <v/>
      </c>
      <c r="AU240" s="184" t="str">
        <f t="shared" si="571"/>
        <v/>
      </c>
      <c r="AV240" s="184" t="str">
        <f t="shared" si="572"/>
        <v/>
      </c>
      <c r="AW240" s="184" t="str">
        <f t="shared" si="573"/>
        <v/>
      </c>
      <c r="AX240" s="184" t="str">
        <f t="shared" si="574"/>
        <v/>
      </c>
      <c r="AY240" s="184" t="str">
        <f t="shared" si="575"/>
        <v/>
      </c>
      <c r="AZ240" s="184" t="str">
        <f t="shared" si="576"/>
        <v/>
      </c>
      <c r="BA240" s="184" t="str">
        <f t="shared" si="577"/>
        <v/>
      </c>
      <c r="BB240" s="184" t="str">
        <f t="shared" si="578"/>
        <v/>
      </c>
      <c r="BC240" s="184" t="str">
        <f t="shared" si="579"/>
        <v/>
      </c>
      <c r="BD240" s="184" t="str">
        <f t="shared" si="580"/>
        <v/>
      </c>
      <c r="BE240" s="184" t="str">
        <f t="shared" si="581"/>
        <v/>
      </c>
      <c r="BF240" s="184" t="str">
        <f t="shared" si="582"/>
        <v/>
      </c>
      <c r="BG240" s="184" t="str">
        <f t="shared" si="583"/>
        <v/>
      </c>
      <c r="BH240" s="184" t="str">
        <f t="shared" si="584"/>
        <v/>
      </c>
      <c r="BI240" s="184" t="str">
        <f t="shared" si="585"/>
        <v/>
      </c>
      <c r="BJ240" s="184" t="str">
        <f t="shared" si="586"/>
        <v/>
      </c>
      <c r="BK240" s="184" t="str">
        <f t="shared" si="587"/>
        <v/>
      </c>
      <c r="BL240" s="184" t="str">
        <f t="shared" si="588"/>
        <v/>
      </c>
      <c r="BM240" s="184" t="str">
        <f t="shared" si="589"/>
        <v/>
      </c>
      <c r="BN240" s="184" t="str">
        <f t="shared" si="590"/>
        <v/>
      </c>
      <c r="BO240" s="184" t="str">
        <f t="shared" si="591"/>
        <v/>
      </c>
      <c r="BP240" s="184" t="str">
        <f t="shared" si="592"/>
        <v/>
      </c>
      <c r="BQ240" s="184" t="str">
        <f t="shared" si="593"/>
        <v/>
      </c>
      <c r="BR240" s="184" t="str">
        <f t="shared" si="660"/>
        <v/>
      </c>
      <c r="BS240" s="184" t="str">
        <f t="shared" si="660"/>
        <v/>
      </c>
      <c r="BT240" s="184" t="str">
        <f t="shared" si="660"/>
        <v/>
      </c>
      <c r="BU240" s="184" t="str">
        <f t="shared" si="595"/>
        <v/>
      </c>
      <c r="BV240" s="184" t="str">
        <f t="shared" si="596"/>
        <v/>
      </c>
      <c r="BW240" s="184" t="str">
        <f t="shared" si="597"/>
        <v/>
      </c>
      <c r="BX240" s="184" t="str">
        <f t="shared" si="598"/>
        <v/>
      </c>
      <c r="BY240" s="184" t="str">
        <f t="shared" si="599"/>
        <v/>
      </c>
      <c r="BZ240" s="184" t="str">
        <f t="shared" si="600"/>
        <v/>
      </c>
      <c r="CA240" s="184" t="str">
        <f t="shared" si="601"/>
        <v/>
      </c>
      <c r="CB240" s="184" t="str">
        <f t="shared" si="602"/>
        <v/>
      </c>
      <c r="CC240" s="184" t="str">
        <f t="shared" si="603"/>
        <v/>
      </c>
      <c r="CD240" s="184" t="str">
        <f t="shared" si="604"/>
        <v/>
      </c>
      <c r="CE240" s="184" t="str">
        <f t="shared" si="605"/>
        <v/>
      </c>
      <c r="CF240" s="184" t="str">
        <f t="shared" si="606"/>
        <v/>
      </c>
      <c r="CG240" s="184" t="str">
        <f t="shared" si="607"/>
        <v/>
      </c>
      <c r="CH240" s="184" t="str">
        <f t="shared" si="608"/>
        <v/>
      </c>
      <c r="CI240" s="184" t="str">
        <f t="shared" si="609"/>
        <v/>
      </c>
      <c r="CJ240" s="184" t="str">
        <f t="shared" si="610"/>
        <v/>
      </c>
      <c r="CK240" s="184"/>
      <c r="CM240" s="184"/>
      <c r="CN240"/>
      <c r="CP240"/>
      <c r="CR240"/>
      <c r="CT240"/>
      <c r="CV240"/>
      <c r="CX240"/>
      <c r="CZ240"/>
      <c r="DB240"/>
      <c r="DD240"/>
      <c r="DF240"/>
      <c r="ED240" s="184"/>
      <c r="EF240" s="184"/>
      <c r="EH240" s="184"/>
      <c r="EJ240" s="184"/>
      <c r="EL240" s="184"/>
      <c r="EN240" s="184"/>
      <c r="EP240" s="184"/>
      <c r="ER240" s="184"/>
      <c r="ET240" s="184"/>
      <c r="EV240" s="184"/>
      <c r="EX240" s="184"/>
      <c r="EZ240" s="184"/>
      <c r="FB240" s="184"/>
    </row>
    <row r="241" spans="1:158">
      <c r="A241" s="184">
        <f t="shared" si="653"/>
        <v>50.5</v>
      </c>
      <c r="B241" s="18">
        <f t="shared" si="678"/>
        <v>11145</v>
      </c>
      <c r="C241" s="18">
        <f t="shared" si="674"/>
        <v>13868.333333333452</v>
      </c>
      <c r="D241" s="18">
        <f t="shared" si="674"/>
        <v>18355.83333333335</v>
      </c>
      <c r="E241" s="18">
        <f t="shared" si="674"/>
        <v>22095.833333333248</v>
      </c>
      <c r="F241" s="18">
        <f t="shared" si="674"/>
        <v>11174.166666666624</v>
      </c>
      <c r="G241" s="18">
        <f t="shared" si="674"/>
        <v>13909.166666666548</v>
      </c>
      <c r="H241" s="18">
        <f t="shared" si="674"/>
        <v>18350</v>
      </c>
      <c r="I241" s="18">
        <f t="shared" si="674"/>
        <v>11150.833333333389</v>
      </c>
      <c r="J241" s="18">
        <f t="shared" si="674"/>
        <v>14726.666666666548</v>
      </c>
      <c r="K241" s="18">
        <f t="shared" si="674"/>
        <v>18390.833333333376</v>
      </c>
      <c r="L241" s="18">
        <f t="shared" si="674"/>
        <v>22078.333333333223</v>
      </c>
      <c r="M241" s="18">
        <f t="shared" si="674"/>
        <v>28276.666666666904</v>
      </c>
      <c r="N241" s="18">
        <f t="shared" si="674"/>
        <v>14292.5</v>
      </c>
      <c r="O241" s="18">
        <f t="shared" si="674"/>
        <v>18455.83333333335</v>
      </c>
      <c r="P241" s="18">
        <f t="shared" si="674"/>
        <v>21162.5</v>
      </c>
      <c r="Q241" s="18">
        <f t="shared" si="674"/>
        <v>25396.666666666904</v>
      </c>
      <c r="R241" s="18">
        <f t="shared" si="674"/>
        <v>37617.5</v>
      </c>
      <c r="S241" s="18">
        <f t="shared" si="674"/>
        <v>22379.166666666853</v>
      </c>
      <c r="T241" s="18">
        <f t="shared" si="674"/>
        <v>25399.583333333096</v>
      </c>
      <c r="U241" s="18">
        <f t="shared" si="674"/>
        <v>29023.756666666592</v>
      </c>
      <c r="V241" s="18">
        <f t="shared" si="674"/>
        <v>36617.399999999674</v>
      </c>
      <c r="W241" s="18">
        <f t="shared" si="674"/>
        <v>45975.179999999425</v>
      </c>
      <c r="X241" s="18">
        <f t="shared" si="674"/>
        <v>55256.850000000326</v>
      </c>
      <c r="Y241" s="18">
        <f t="shared" si="674"/>
        <v>54641.666666666191</v>
      </c>
      <c r="Z241" s="18">
        <f t="shared" si="675"/>
        <v>44802.666666666293</v>
      </c>
      <c r="AA241" s="18">
        <f t="shared" si="675"/>
        <v>52765.333333333809</v>
      </c>
      <c r="AB241" s="18">
        <f t="shared" si="675"/>
        <v>67001</v>
      </c>
      <c r="AC241" s="18">
        <f t="shared" si="679"/>
        <v>18900</v>
      </c>
      <c r="AD241" s="18">
        <f t="shared" si="676"/>
        <v>24300</v>
      </c>
      <c r="AE241" s="18">
        <f t="shared" si="676"/>
        <v>28350</v>
      </c>
      <c r="AF241" s="18">
        <f t="shared" si="676"/>
        <v>32400</v>
      </c>
      <c r="AG241" s="18">
        <f t="shared" si="676"/>
        <v>40500</v>
      </c>
      <c r="AH241" s="18">
        <f t="shared" ref="AH241:AK241" si="685">AH240+AH$234*0.05</f>
        <v>25650</v>
      </c>
      <c r="AI241" s="18">
        <f t="shared" si="685"/>
        <v>30780</v>
      </c>
      <c r="AJ241" s="18">
        <f t="shared" si="685"/>
        <v>33750</v>
      </c>
      <c r="AK241" s="18">
        <f t="shared" si="685"/>
        <v>39150</v>
      </c>
      <c r="AL241" s="18">
        <f t="shared" si="676"/>
        <v>29700</v>
      </c>
      <c r="AM241" s="18">
        <f t="shared" si="676"/>
        <v>33750</v>
      </c>
      <c r="AN241" s="18">
        <f t="shared" si="676"/>
        <v>38610</v>
      </c>
      <c r="AO241" s="18">
        <f t="shared" si="676"/>
        <v>60750</v>
      </c>
      <c r="AP241" s="18">
        <f t="shared" si="676"/>
        <v>64800</v>
      </c>
      <c r="AQ241" s="18">
        <f t="shared" si="676"/>
        <v>72900</v>
      </c>
      <c r="AR241" s="18">
        <f t="shared" si="676"/>
        <v>198720</v>
      </c>
      <c r="AS241" s="18">
        <f t="shared" si="566"/>
        <v>6195.652173913044</v>
      </c>
      <c r="AT241" s="184" t="str">
        <f t="shared" si="570"/>
        <v/>
      </c>
      <c r="AU241" s="184" t="str">
        <f t="shared" si="571"/>
        <v/>
      </c>
      <c r="AV241" s="184" t="str">
        <f t="shared" si="572"/>
        <v/>
      </c>
      <c r="AW241" s="184" t="str">
        <f t="shared" si="573"/>
        <v/>
      </c>
      <c r="AX241" s="184" t="str">
        <f t="shared" si="574"/>
        <v/>
      </c>
      <c r="AY241" s="184" t="str">
        <f t="shared" si="575"/>
        <v/>
      </c>
      <c r="AZ241" s="184" t="str">
        <f t="shared" si="576"/>
        <v/>
      </c>
      <c r="BA241" s="184" t="str">
        <f t="shared" si="577"/>
        <v/>
      </c>
      <c r="BB241" s="184" t="str">
        <f t="shared" si="578"/>
        <v/>
      </c>
      <c r="BC241" s="184" t="str">
        <f t="shared" si="579"/>
        <v/>
      </c>
      <c r="BD241" s="184" t="str">
        <f t="shared" si="580"/>
        <v/>
      </c>
      <c r="BE241" s="184" t="str">
        <f t="shared" si="581"/>
        <v/>
      </c>
      <c r="BF241" s="184" t="str">
        <f t="shared" si="582"/>
        <v/>
      </c>
      <c r="BG241" s="184" t="str">
        <f t="shared" si="583"/>
        <v/>
      </c>
      <c r="BH241" s="184" t="str">
        <f t="shared" si="584"/>
        <v/>
      </c>
      <c r="BI241" s="184" t="str">
        <f t="shared" si="585"/>
        <v/>
      </c>
      <c r="BJ241" s="184" t="str">
        <f t="shared" si="586"/>
        <v/>
      </c>
      <c r="BK241" s="184" t="str">
        <f t="shared" si="587"/>
        <v/>
      </c>
      <c r="BL241" s="184" t="str">
        <f t="shared" si="588"/>
        <v/>
      </c>
      <c r="BM241" s="184" t="str">
        <f t="shared" si="589"/>
        <v/>
      </c>
      <c r="BN241" s="184" t="str">
        <f t="shared" si="590"/>
        <v/>
      </c>
      <c r="BO241" s="184" t="str">
        <f t="shared" si="591"/>
        <v/>
      </c>
      <c r="BP241" s="184" t="str">
        <f t="shared" si="592"/>
        <v/>
      </c>
      <c r="BQ241" s="184" t="str">
        <f t="shared" si="593"/>
        <v/>
      </c>
      <c r="BR241" s="184" t="str">
        <f t="shared" si="660"/>
        <v/>
      </c>
      <c r="BS241" s="184" t="str">
        <f t="shared" si="660"/>
        <v/>
      </c>
      <c r="BT241" s="184" t="str">
        <f t="shared" si="660"/>
        <v/>
      </c>
      <c r="BU241" s="184" t="str">
        <f t="shared" si="595"/>
        <v/>
      </c>
      <c r="BV241" s="184" t="str">
        <f t="shared" si="596"/>
        <v/>
      </c>
      <c r="BW241" s="184" t="str">
        <f t="shared" si="597"/>
        <v/>
      </c>
      <c r="BX241" s="184" t="str">
        <f t="shared" si="598"/>
        <v/>
      </c>
      <c r="BY241" s="184" t="str">
        <f t="shared" si="599"/>
        <v/>
      </c>
      <c r="BZ241" s="184" t="str">
        <f t="shared" si="600"/>
        <v/>
      </c>
      <c r="CA241" s="184" t="str">
        <f t="shared" si="601"/>
        <v/>
      </c>
      <c r="CB241" s="184" t="str">
        <f t="shared" si="602"/>
        <v/>
      </c>
      <c r="CC241" s="184" t="str">
        <f t="shared" si="603"/>
        <v/>
      </c>
      <c r="CD241" s="184" t="str">
        <f t="shared" si="604"/>
        <v/>
      </c>
      <c r="CE241" s="184" t="str">
        <f t="shared" si="605"/>
        <v/>
      </c>
      <c r="CF241" s="184" t="str">
        <f t="shared" si="606"/>
        <v/>
      </c>
      <c r="CG241" s="184" t="str">
        <f t="shared" si="607"/>
        <v/>
      </c>
      <c r="CH241" s="184" t="str">
        <f t="shared" si="608"/>
        <v/>
      </c>
      <c r="CI241" s="184" t="str">
        <f t="shared" si="609"/>
        <v/>
      </c>
      <c r="CJ241" s="184" t="str">
        <f t="shared" si="610"/>
        <v/>
      </c>
      <c r="CK241" s="184"/>
      <c r="CM241" s="184"/>
      <c r="CN241"/>
      <c r="CP241"/>
      <c r="CR241"/>
      <c r="CT241"/>
      <c r="CV241"/>
      <c r="CX241"/>
      <c r="CZ241"/>
      <c r="DB241"/>
      <c r="DD241"/>
      <c r="DF241"/>
      <c r="ED241" s="184"/>
      <c r="EF241" s="184"/>
      <c r="EH241" s="184"/>
      <c r="EJ241" s="184"/>
      <c r="EL241" s="184"/>
      <c r="EN241" s="184"/>
      <c r="EP241" s="184"/>
      <c r="ER241" s="184"/>
      <c r="ET241" s="184"/>
      <c r="EV241" s="184"/>
      <c r="EX241" s="184"/>
      <c r="EZ241" s="184"/>
      <c r="FB241" s="184"/>
    </row>
    <row r="242" spans="1:158">
      <c r="A242" s="184">
        <f t="shared" si="653"/>
        <v>51</v>
      </c>
      <c r="B242" s="18">
        <f t="shared" si="678"/>
        <v>11180</v>
      </c>
      <c r="C242" s="18">
        <f t="shared" si="674"/>
        <v>13906.666666666802</v>
      </c>
      <c r="D242" s="18">
        <f t="shared" si="674"/>
        <v>18406.666666666686</v>
      </c>
      <c r="E242" s="18">
        <f t="shared" si="674"/>
        <v>22166.66666666657</v>
      </c>
      <c r="F242" s="18">
        <f t="shared" si="674"/>
        <v>11213.333333333285</v>
      </c>
      <c r="G242" s="18">
        <f t="shared" si="674"/>
        <v>13953.333333333198</v>
      </c>
      <c r="H242" s="18">
        <f t="shared" si="674"/>
        <v>18400</v>
      </c>
      <c r="I242" s="18">
        <f t="shared" si="674"/>
        <v>11186.66666666673</v>
      </c>
      <c r="J242" s="18">
        <f t="shared" si="674"/>
        <v>14773.333333333198</v>
      </c>
      <c r="K242" s="18">
        <f t="shared" si="674"/>
        <v>18446.666666666715</v>
      </c>
      <c r="L242" s="18">
        <f t="shared" si="674"/>
        <v>22146.666666666541</v>
      </c>
      <c r="M242" s="18">
        <f t="shared" si="674"/>
        <v>28373.333333333605</v>
      </c>
      <c r="N242" s="18">
        <f t="shared" si="674"/>
        <v>14320</v>
      </c>
      <c r="O242" s="18">
        <f t="shared" si="674"/>
        <v>18506.666666666686</v>
      </c>
      <c r="P242" s="18">
        <f t="shared" si="674"/>
        <v>21200</v>
      </c>
      <c r="Q242" s="18">
        <f t="shared" si="674"/>
        <v>25453.333333333605</v>
      </c>
      <c r="R242" s="18">
        <f t="shared" si="674"/>
        <v>37720</v>
      </c>
      <c r="S242" s="18">
        <f t="shared" si="674"/>
        <v>22433.333333333547</v>
      </c>
      <c r="T242" s="18">
        <f t="shared" si="674"/>
        <v>25456.666666666395</v>
      </c>
      <c r="U242" s="18">
        <f t="shared" si="674"/>
        <v>29084.293333333248</v>
      </c>
      <c r="V242" s="18">
        <f t="shared" si="674"/>
        <v>36705.599999999627</v>
      </c>
      <c r="W242" s="18">
        <f t="shared" si="674"/>
        <v>46085.919999999343</v>
      </c>
      <c r="X242" s="18">
        <f t="shared" si="674"/>
        <v>55436.400000000373</v>
      </c>
      <c r="Y242" s="18">
        <f t="shared" si="674"/>
        <v>54733.33333333279</v>
      </c>
      <c r="Z242" s="18">
        <f t="shared" si="675"/>
        <v>44917.333333332906</v>
      </c>
      <c r="AA242" s="18">
        <f t="shared" si="675"/>
        <v>52874.66666666721</v>
      </c>
      <c r="AB242" s="18">
        <f t="shared" si="675"/>
        <v>67144</v>
      </c>
      <c r="AC242" s="18">
        <f t="shared" si="679"/>
        <v>19600</v>
      </c>
      <c r="AD242" s="18">
        <f t="shared" si="676"/>
        <v>25200</v>
      </c>
      <c r="AE242" s="18">
        <f t="shared" si="676"/>
        <v>29400</v>
      </c>
      <c r="AF242" s="18">
        <f t="shared" si="676"/>
        <v>33600</v>
      </c>
      <c r="AG242" s="18">
        <f t="shared" si="676"/>
        <v>42000</v>
      </c>
      <c r="AH242" s="18">
        <f t="shared" ref="AH242:AK242" si="686">AH241+AH$234*0.05</f>
        <v>26600</v>
      </c>
      <c r="AI242" s="18">
        <f t="shared" si="686"/>
        <v>31920</v>
      </c>
      <c r="AJ242" s="18">
        <f t="shared" si="686"/>
        <v>35000</v>
      </c>
      <c r="AK242" s="18">
        <f t="shared" si="686"/>
        <v>40600</v>
      </c>
      <c r="AL242" s="18">
        <f t="shared" si="676"/>
        <v>30800</v>
      </c>
      <c r="AM242" s="18">
        <f t="shared" si="676"/>
        <v>35000</v>
      </c>
      <c r="AN242" s="18">
        <f t="shared" si="676"/>
        <v>40040</v>
      </c>
      <c r="AO242" s="18">
        <f t="shared" si="676"/>
        <v>63000</v>
      </c>
      <c r="AP242" s="18">
        <f t="shared" si="676"/>
        <v>67200</v>
      </c>
      <c r="AQ242" s="18">
        <f t="shared" si="676"/>
        <v>75600</v>
      </c>
      <c r="AR242" s="18">
        <f t="shared" si="676"/>
        <v>206080</v>
      </c>
      <c r="AS242" s="18">
        <f t="shared" si="566"/>
        <v>5869.565217391304</v>
      </c>
      <c r="AT242" s="184" t="str">
        <f t="shared" si="570"/>
        <v/>
      </c>
      <c r="AU242" s="184" t="str">
        <f t="shared" si="571"/>
        <v/>
      </c>
      <c r="AV242" s="184" t="str">
        <f t="shared" si="572"/>
        <v/>
      </c>
      <c r="AW242" s="184" t="str">
        <f t="shared" si="573"/>
        <v/>
      </c>
      <c r="AX242" s="184" t="str">
        <f t="shared" si="574"/>
        <v/>
      </c>
      <c r="AY242" s="184" t="str">
        <f t="shared" si="575"/>
        <v/>
      </c>
      <c r="AZ242" s="184" t="str">
        <f t="shared" si="576"/>
        <v/>
      </c>
      <c r="BA242" s="184" t="str">
        <f t="shared" si="577"/>
        <v/>
      </c>
      <c r="BB242" s="184" t="str">
        <f t="shared" si="578"/>
        <v/>
      </c>
      <c r="BC242" s="184" t="str">
        <f t="shared" si="579"/>
        <v/>
      </c>
      <c r="BD242" s="184" t="str">
        <f t="shared" si="580"/>
        <v/>
      </c>
      <c r="BE242" s="184" t="str">
        <f t="shared" si="581"/>
        <v/>
      </c>
      <c r="BF242" s="184" t="str">
        <f t="shared" si="582"/>
        <v/>
      </c>
      <c r="BG242" s="184" t="str">
        <f t="shared" si="583"/>
        <v/>
      </c>
      <c r="BH242" s="184" t="str">
        <f t="shared" si="584"/>
        <v/>
      </c>
      <c r="BI242" s="184" t="str">
        <f t="shared" si="585"/>
        <v/>
      </c>
      <c r="BJ242" s="184" t="str">
        <f t="shared" si="586"/>
        <v/>
      </c>
      <c r="BK242" s="184" t="str">
        <f t="shared" si="587"/>
        <v/>
      </c>
      <c r="BL242" s="184" t="str">
        <f t="shared" si="588"/>
        <v/>
      </c>
      <c r="BM242" s="184" t="str">
        <f t="shared" si="589"/>
        <v/>
      </c>
      <c r="BN242" s="184" t="str">
        <f t="shared" si="590"/>
        <v/>
      </c>
      <c r="BO242" s="184" t="str">
        <f t="shared" si="591"/>
        <v/>
      </c>
      <c r="BP242" s="184" t="str">
        <f t="shared" si="592"/>
        <v/>
      </c>
      <c r="BQ242" s="184" t="str">
        <f t="shared" si="593"/>
        <v/>
      </c>
      <c r="BR242" s="184" t="str">
        <f t="shared" si="660"/>
        <v/>
      </c>
      <c r="BS242" s="184" t="str">
        <f t="shared" si="660"/>
        <v/>
      </c>
      <c r="BT242" s="184" t="str">
        <f t="shared" si="660"/>
        <v/>
      </c>
      <c r="BU242" s="184" t="str">
        <f t="shared" si="595"/>
        <v/>
      </c>
      <c r="BV242" s="184" t="str">
        <f t="shared" si="596"/>
        <v/>
      </c>
      <c r="BW242" s="184" t="str">
        <f t="shared" si="597"/>
        <v/>
      </c>
      <c r="BX242" s="184" t="str">
        <f t="shared" si="598"/>
        <v/>
      </c>
      <c r="BY242" s="184" t="str">
        <f t="shared" si="599"/>
        <v/>
      </c>
      <c r="BZ242" s="184" t="str">
        <f t="shared" si="600"/>
        <v/>
      </c>
      <c r="CA242" s="184" t="str">
        <f t="shared" si="601"/>
        <v/>
      </c>
      <c r="CB242" s="184" t="str">
        <f t="shared" si="602"/>
        <v/>
      </c>
      <c r="CC242" s="184" t="str">
        <f t="shared" si="603"/>
        <v/>
      </c>
      <c r="CD242" s="184" t="str">
        <f t="shared" si="604"/>
        <v/>
      </c>
      <c r="CE242" s="184" t="str">
        <f t="shared" si="605"/>
        <v/>
      </c>
      <c r="CF242" s="184" t="str">
        <f t="shared" si="606"/>
        <v/>
      </c>
      <c r="CG242" s="184" t="str">
        <f t="shared" si="607"/>
        <v/>
      </c>
      <c r="CH242" s="184" t="str">
        <f t="shared" si="608"/>
        <v/>
      </c>
      <c r="CI242" s="184" t="str">
        <f t="shared" si="609"/>
        <v/>
      </c>
      <c r="CJ242" s="184" t="str">
        <f t="shared" si="610"/>
        <v/>
      </c>
      <c r="CK242" s="184"/>
      <c r="CM242" s="184"/>
      <c r="CN242"/>
      <c r="CP242"/>
      <c r="CR242"/>
      <c r="CT242"/>
      <c r="CV242"/>
      <c r="CX242"/>
      <c r="CZ242"/>
      <c r="DB242"/>
      <c r="DD242"/>
      <c r="DF242"/>
      <c r="ED242" s="184"/>
      <c r="EF242" s="184"/>
      <c r="EH242" s="184"/>
      <c r="EJ242" s="184"/>
      <c r="EL242" s="184"/>
      <c r="EN242" s="184"/>
      <c r="EP242" s="184"/>
      <c r="ER242" s="184"/>
      <c r="ET242" s="184"/>
      <c r="EV242" s="184"/>
      <c r="EX242" s="184"/>
      <c r="EZ242" s="184"/>
      <c r="FB242" s="184"/>
    </row>
    <row r="243" spans="1:158">
      <c r="A243" s="184">
        <f t="shared" si="653"/>
        <v>51.5</v>
      </c>
      <c r="B243" s="18">
        <f t="shared" si="678"/>
        <v>11215</v>
      </c>
      <c r="C243" s="18">
        <f t="shared" si="674"/>
        <v>13945.000000000153</v>
      </c>
      <c r="D243" s="18">
        <f t="shared" si="674"/>
        <v>18457.500000000022</v>
      </c>
      <c r="E243" s="18">
        <f t="shared" si="674"/>
        <v>22237.499999999891</v>
      </c>
      <c r="F243" s="18">
        <f t="shared" si="674"/>
        <v>11252.499999999945</v>
      </c>
      <c r="G243" s="18">
        <f t="shared" si="674"/>
        <v>13997.499999999847</v>
      </c>
      <c r="H243" s="18">
        <f t="shared" si="674"/>
        <v>18450</v>
      </c>
      <c r="I243" s="18">
        <f t="shared" si="674"/>
        <v>11222.500000000071</v>
      </c>
      <c r="J243" s="18">
        <f t="shared" si="674"/>
        <v>14819.999999999847</v>
      </c>
      <c r="K243" s="18">
        <f t="shared" si="674"/>
        <v>18502.500000000055</v>
      </c>
      <c r="L243" s="18">
        <f t="shared" si="674"/>
        <v>22214.999999999858</v>
      </c>
      <c r="M243" s="18">
        <f t="shared" si="674"/>
        <v>28470.000000000306</v>
      </c>
      <c r="N243" s="18">
        <f t="shared" si="674"/>
        <v>14347.5</v>
      </c>
      <c r="O243" s="18">
        <f t="shared" si="674"/>
        <v>18557.500000000022</v>
      </c>
      <c r="P243" s="18">
        <f t="shared" si="674"/>
        <v>21237.5</v>
      </c>
      <c r="Q243" s="18">
        <f t="shared" si="674"/>
        <v>25510.000000000306</v>
      </c>
      <c r="R243" s="18">
        <f t="shared" si="674"/>
        <v>37822.5</v>
      </c>
      <c r="S243" s="18">
        <f t="shared" si="674"/>
        <v>22487.50000000024</v>
      </c>
      <c r="T243" s="18">
        <f t="shared" si="674"/>
        <v>25513.749999999694</v>
      </c>
      <c r="U243" s="18">
        <f t="shared" si="674"/>
        <v>29144.829999999904</v>
      </c>
      <c r="V243" s="18">
        <f t="shared" si="674"/>
        <v>36793.799999999581</v>
      </c>
      <c r="W243" s="18">
        <f t="shared" si="674"/>
        <v>46196.659999999261</v>
      </c>
      <c r="X243" s="18">
        <f t="shared" si="674"/>
        <v>55615.950000000419</v>
      </c>
      <c r="Y243" s="18">
        <f t="shared" si="674"/>
        <v>54824.999999999389</v>
      </c>
      <c r="Z243" s="18">
        <f t="shared" si="675"/>
        <v>45031.99999999952</v>
      </c>
      <c r="AA243" s="18">
        <f t="shared" si="675"/>
        <v>52984.000000000611</v>
      </c>
      <c r="AB243" s="18">
        <f t="shared" si="675"/>
        <v>67287</v>
      </c>
      <c r="AC243" s="18">
        <f t="shared" si="679"/>
        <v>20300</v>
      </c>
      <c r="AD243" s="18">
        <f t="shared" si="676"/>
        <v>26100</v>
      </c>
      <c r="AE243" s="18">
        <f t="shared" si="676"/>
        <v>30450</v>
      </c>
      <c r="AF243" s="18">
        <f t="shared" si="676"/>
        <v>34800</v>
      </c>
      <c r="AG243" s="18">
        <f t="shared" si="676"/>
        <v>43500</v>
      </c>
      <c r="AH243" s="18">
        <f t="shared" ref="AH243:AK243" si="687">AH242+AH$234*0.05</f>
        <v>27550</v>
      </c>
      <c r="AI243" s="18">
        <f t="shared" si="687"/>
        <v>33060</v>
      </c>
      <c r="AJ243" s="18">
        <f t="shared" si="687"/>
        <v>36250</v>
      </c>
      <c r="AK243" s="18">
        <f t="shared" si="687"/>
        <v>42050</v>
      </c>
      <c r="AL243" s="18">
        <f t="shared" si="676"/>
        <v>31900</v>
      </c>
      <c r="AM243" s="18">
        <f t="shared" si="676"/>
        <v>36250</v>
      </c>
      <c r="AN243" s="18">
        <f t="shared" si="676"/>
        <v>41470</v>
      </c>
      <c r="AO243" s="18">
        <f t="shared" si="676"/>
        <v>65250</v>
      </c>
      <c r="AP243" s="18">
        <f t="shared" si="676"/>
        <v>69600</v>
      </c>
      <c r="AQ243" s="18">
        <f t="shared" si="676"/>
        <v>78300</v>
      </c>
      <c r="AR243" s="18">
        <f t="shared" si="676"/>
        <v>213440</v>
      </c>
      <c r="AS243" s="18">
        <f t="shared" si="566"/>
        <v>5543.4782608695659</v>
      </c>
      <c r="AT243" s="184" t="str">
        <f t="shared" si="570"/>
        <v/>
      </c>
      <c r="AU243" s="184" t="str">
        <f t="shared" si="571"/>
        <v/>
      </c>
      <c r="AV243" s="184" t="str">
        <f t="shared" si="572"/>
        <v/>
      </c>
      <c r="AW243" s="184" t="str">
        <f t="shared" si="573"/>
        <v/>
      </c>
      <c r="AX243" s="184" t="str">
        <f t="shared" si="574"/>
        <v/>
      </c>
      <c r="AY243" s="184" t="str">
        <f t="shared" si="575"/>
        <v/>
      </c>
      <c r="AZ243" s="184" t="str">
        <f t="shared" si="576"/>
        <v/>
      </c>
      <c r="BA243" s="184" t="str">
        <f t="shared" si="577"/>
        <v/>
      </c>
      <c r="BB243" s="184" t="str">
        <f t="shared" si="578"/>
        <v/>
      </c>
      <c r="BC243" s="184" t="str">
        <f t="shared" si="579"/>
        <v/>
      </c>
      <c r="BD243" s="184" t="str">
        <f t="shared" si="580"/>
        <v/>
      </c>
      <c r="BE243" s="184" t="str">
        <f t="shared" si="581"/>
        <v/>
      </c>
      <c r="BF243" s="184" t="str">
        <f t="shared" si="582"/>
        <v/>
      </c>
      <c r="BG243" s="184" t="str">
        <f t="shared" si="583"/>
        <v/>
      </c>
      <c r="BH243" s="184" t="str">
        <f t="shared" si="584"/>
        <v/>
      </c>
      <c r="BI243" s="184" t="str">
        <f t="shared" si="585"/>
        <v/>
      </c>
      <c r="BJ243" s="184" t="str">
        <f t="shared" si="586"/>
        <v/>
      </c>
      <c r="BK243" s="184" t="str">
        <f t="shared" si="587"/>
        <v/>
      </c>
      <c r="BL243" s="184" t="str">
        <f t="shared" si="588"/>
        <v/>
      </c>
      <c r="BM243" s="184" t="str">
        <f t="shared" si="589"/>
        <v/>
      </c>
      <c r="BN243" s="184" t="str">
        <f t="shared" si="590"/>
        <v/>
      </c>
      <c r="BO243" s="184" t="str">
        <f t="shared" si="591"/>
        <v/>
      </c>
      <c r="BP243" s="184" t="str">
        <f t="shared" si="592"/>
        <v/>
      </c>
      <c r="BQ243" s="184" t="str">
        <f t="shared" si="593"/>
        <v/>
      </c>
      <c r="BR243" s="184" t="str">
        <f t="shared" si="660"/>
        <v/>
      </c>
      <c r="BS243" s="184" t="str">
        <f t="shared" si="660"/>
        <v/>
      </c>
      <c r="BT243" s="184" t="str">
        <f t="shared" si="660"/>
        <v/>
      </c>
      <c r="BU243" s="184" t="str">
        <f t="shared" si="595"/>
        <v/>
      </c>
      <c r="BV243" s="184" t="str">
        <f t="shared" si="596"/>
        <v/>
      </c>
      <c r="BW243" s="184" t="str">
        <f t="shared" si="597"/>
        <v/>
      </c>
      <c r="BX243" s="184" t="str">
        <f t="shared" si="598"/>
        <v/>
      </c>
      <c r="BY243" s="184" t="str">
        <f t="shared" si="599"/>
        <v/>
      </c>
      <c r="BZ243" s="184" t="str">
        <f t="shared" si="600"/>
        <v/>
      </c>
      <c r="CA243" s="184" t="str">
        <f t="shared" si="601"/>
        <v/>
      </c>
      <c r="CB243" s="184" t="str">
        <f t="shared" si="602"/>
        <v/>
      </c>
      <c r="CC243" s="184" t="str">
        <f t="shared" si="603"/>
        <v/>
      </c>
      <c r="CD243" s="184" t="str">
        <f t="shared" si="604"/>
        <v/>
      </c>
      <c r="CE243" s="184" t="str">
        <f t="shared" si="605"/>
        <v/>
      </c>
      <c r="CF243" s="184" t="str">
        <f t="shared" si="606"/>
        <v/>
      </c>
      <c r="CG243" s="184" t="str">
        <f t="shared" si="607"/>
        <v/>
      </c>
      <c r="CH243" s="184" t="str">
        <f t="shared" si="608"/>
        <v/>
      </c>
      <c r="CI243" s="184" t="str">
        <f t="shared" si="609"/>
        <v/>
      </c>
      <c r="CJ243" s="184" t="str">
        <f t="shared" si="610"/>
        <v/>
      </c>
      <c r="CK243" s="184"/>
      <c r="CM243" s="184"/>
      <c r="CN243"/>
      <c r="CP243"/>
      <c r="CR243"/>
      <c r="CT243"/>
      <c r="CV243"/>
      <c r="CX243"/>
      <c r="CZ243"/>
      <c r="DB243"/>
      <c r="DD243"/>
      <c r="DF243"/>
      <c r="ED243" s="184"/>
      <c r="EF243" s="184"/>
      <c r="EH243" s="184"/>
      <c r="EJ243" s="184"/>
      <c r="EL243" s="184"/>
      <c r="EN243" s="184"/>
      <c r="EP243" s="184"/>
      <c r="ER243" s="184"/>
      <c r="ET243" s="184"/>
      <c r="EV243" s="184"/>
      <c r="EX243" s="184"/>
      <c r="EZ243" s="184"/>
      <c r="FB243" s="184"/>
    </row>
    <row r="244" spans="1:158">
      <c r="A244" s="184">
        <f t="shared" si="653"/>
        <v>52</v>
      </c>
      <c r="B244" s="18">
        <f t="shared" si="678"/>
        <v>11250</v>
      </c>
      <c r="C244" s="18">
        <f t="shared" si="674"/>
        <v>13983.333333333503</v>
      </c>
      <c r="D244" s="18">
        <f t="shared" si="674"/>
        <v>18508.333333333358</v>
      </c>
      <c r="E244" s="18">
        <f t="shared" si="674"/>
        <v>22308.333333333212</v>
      </c>
      <c r="F244" s="18">
        <f t="shared" si="674"/>
        <v>11291.666666666606</v>
      </c>
      <c r="G244" s="18">
        <f t="shared" si="674"/>
        <v>14041.666666666497</v>
      </c>
      <c r="H244" s="18">
        <f t="shared" si="674"/>
        <v>18500</v>
      </c>
      <c r="I244" s="18">
        <f t="shared" si="674"/>
        <v>11258.333333333412</v>
      </c>
      <c r="J244" s="18">
        <f t="shared" si="674"/>
        <v>14866.666666666497</v>
      </c>
      <c r="K244" s="18">
        <f t="shared" si="674"/>
        <v>18558.333333333394</v>
      </c>
      <c r="L244" s="18">
        <f t="shared" si="674"/>
        <v>22283.333333333176</v>
      </c>
      <c r="M244" s="18">
        <f t="shared" si="674"/>
        <v>28566.666666667006</v>
      </c>
      <c r="N244" s="18">
        <f t="shared" si="674"/>
        <v>14375</v>
      </c>
      <c r="O244" s="18">
        <f t="shared" si="674"/>
        <v>18608.333333333358</v>
      </c>
      <c r="P244" s="18">
        <f t="shared" si="674"/>
        <v>21275</v>
      </c>
      <c r="Q244" s="18">
        <f t="shared" si="674"/>
        <v>25566.666666667006</v>
      </c>
      <c r="R244" s="18">
        <f t="shared" si="674"/>
        <v>37925</v>
      </c>
      <c r="S244" s="18">
        <f t="shared" si="674"/>
        <v>22541.666666666933</v>
      </c>
      <c r="T244" s="18">
        <f t="shared" si="674"/>
        <v>25570.833333332994</v>
      </c>
      <c r="U244" s="18">
        <f t="shared" si="674"/>
        <v>29205.366666666559</v>
      </c>
      <c r="V244" s="18">
        <f t="shared" si="674"/>
        <v>36881.999999999534</v>
      </c>
      <c r="W244" s="18">
        <f t="shared" si="674"/>
        <v>46307.399999999179</v>
      </c>
      <c r="X244" s="18">
        <f t="shared" si="674"/>
        <v>55795.500000000466</v>
      </c>
      <c r="Y244" s="18">
        <f t="shared" si="674"/>
        <v>54916.666666665988</v>
      </c>
      <c r="Z244" s="18">
        <f t="shared" si="675"/>
        <v>45146.666666666133</v>
      </c>
      <c r="AA244" s="18">
        <f t="shared" si="675"/>
        <v>53093.333333334012</v>
      </c>
      <c r="AB244" s="18">
        <f t="shared" si="675"/>
        <v>67430</v>
      </c>
      <c r="AC244" s="18">
        <f t="shared" si="679"/>
        <v>21000</v>
      </c>
      <c r="AD244" s="18">
        <f t="shared" si="676"/>
        <v>27000</v>
      </c>
      <c r="AE244" s="18">
        <f t="shared" si="676"/>
        <v>31500</v>
      </c>
      <c r="AF244" s="18">
        <f t="shared" si="676"/>
        <v>36000</v>
      </c>
      <c r="AG244" s="18">
        <f t="shared" si="676"/>
        <v>45000</v>
      </c>
      <c r="AH244" s="18">
        <f t="shared" ref="AH244:AK244" si="688">AH243+AH$234*0.05</f>
        <v>28500</v>
      </c>
      <c r="AI244" s="18">
        <f t="shared" si="688"/>
        <v>34200</v>
      </c>
      <c r="AJ244" s="18">
        <f t="shared" si="688"/>
        <v>37500</v>
      </c>
      <c r="AK244" s="18">
        <f t="shared" si="688"/>
        <v>43500</v>
      </c>
      <c r="AL244" s="18">
        <f t="shared" si="676"/>
        <v>33000</v>
      </c>
      <c r="AM244" s="18">
        <f t="shared" si="676"/>
        <v>37500</v>
      </c>
      <c r="AN244" s="18">
        <f t="shared" si="676"/>
        <v>42900</v>
      </c>
      <c r="AO244" s="18">
        <f t="shared" si="676"/>
        <v>67500</v>
      </c>
      <c r="AP244" s="18">
        <f t="shared" si="676"/>
        <v>72000</v>
      </c>
      <c r="AQ244" s="18">
        <f t="shared" si="676"/>
        <v>81000</v>
      </c>
      <c r="AR244" s="18">
        <f t="shared" si="676"/>
        <v>220800</v>
      </c>
      <c r="AS244" s="18">
        <f t="shared" si="566"/>
        <v>5217.391304347826</v>
      </c>
      <c r="AT244" s="184" t="str">
        <f t="shared" si="570"/>
        <v/>
      </c>
      <c r="AU244" s="184" t="str">
        <f t="shared" si="571"/>
        <v/>
      </c>
      <c r="AV244" s="184" t="str">
        <f t="shared" si="572"/>
        <v/>
      </c>
      <c r="AW244" s="184" t="str">
        <f t="shared" si="573"/>
        <v/>
      </c>
      <c r="AX244" s="184" t="str">
        <f t="shared" si="574"/>
        <v/>
      </c>
      <c r="AY244" s="184" t="str">
        <f t="shared" si="575"/>
        <v/>
      </c>
      <c r="AZ244" s="184" t="str">
        <f t="shared" si="576"/>
        <v/>
      </c>
      <c r="BA244" s="184" t="str">
        <f t="shared" si="577"/>
        <v/>
      </c>
      <c r="BB244" s="184" t="str">
        <f t="shared" si="578"/>
        <v/>
      </c>
      <c r="BC244" s="184" t="str">
        <f t="shared" si="579"/>
        <v/>
      </c>
      <c r="BD244" s="184" t="str">
        <f t="shared" si="580"/>
        <v/>
      </c>
      <c r="BE244" s="184" t="str">
        <f t="shared" si="581"/>
        <v/>
      </c>
      <c r="BF244" s="184" t="str">
        <f t="shared" si="582"/>
        <v/>
      </c>
      <c r="BG244" s="184" t="str">
        <f t="shared" si="583"/>
        <v/>
      </c>
      <c r="BH244" s="184" t="str">
        <f t="shared" si="584"/>
        <v/>
      </c>
      <c r="BI244" s="184" t="str">
        <f t="shared" si="585"/>
        <v/>
      </c>
      <c r="BJ244" s="184" t="str">
        <f t="shared" si="586"/>
        <v/>
      </c>
      <c r="BK244" s="184" t="str">
        <f t="shared" si="587"/>
        <v/>
      </c>
      <c r="BL244" s="184" t="str">
        <f t="shared" si="588"/>
        <v/>
      </c>
      <c r="BM244" s="184" t="str">
        <f t="shared" si="589"/>
        <v/>
      </c>
      <c r="BN244" s="184" t="str">
        <f t="shared" si="590"/>
        <v/>
      </c>
      <c r="BO244" s="184" t="str">
        <f t="shared" si="591"/>
        <v/>
      </c>
      <c r="BP244" s="184" t="str">
        <f t="shared" si="592"/>
        <v/>
      </c>
      <c r="BQ244" s="184" t="str">
        <f t="shared" si="593"/>
        <v/>
      </c>
      <c r="BR244" s="184" t="str">
        <f t="shared" si="660"/>
        <v/>
      </c>
      <c r="BS244" s="184" t="str">
        <f t="shared" si="660"/>
        <v/>
      </c>
      <c r="BT244" s="184" t="str">
        <f t="shared" si="660"/>
        <v/>
      </c>
      <c r="BU244" s="184" t="str">
        <f t="shared" si="595"/>
        <v/>
      </c>
      <c r="BV244" s="184" t="str">
        <f t="shared" si="596"/>
        <v/>
      </c>
      <c r="BW244" s="184" t="str">
        <f t="shared" si="597"/>
        <v/>
      </c>
      <c r="BX244" s="184" t="str">
        <f t="shared" si="598"/>
        <v/>
      </c>
      <c r="BY244" s="184" t="str">
        <f t="shared" si="599"/>
        <v/>
      </c>
      <c r="BZ244" s="184" t="str">
        <f t="shared" si="600"/>
        <v/>
      </c>
      <c r="CA244" s="184" t="str">
        <f t="shared" si="601"/>
        <v/>
      </c>
      <c r="CB244" s="184" t="str">
        <f t="shared" si="602"/>
        <v/>
      </c>
      <c r="CC244" s="184" t="str">
        <f t="shared" si="603"/>
        <v/>
      </c>
      <c r="CD244" s="184" t="str">
        <f t="shared" si="604"/>
        <v/>
      </c>
      <c r="CE244" s="184" t="str">
        <f t="shared" si="605"/>
        <v/>
      </c>
      <c r="CF244" s="184" t="str">
        <f t="shared" si="606"/>
        <v/>
      </c>
      <c r="CG244" s="184" t="str">
        <f t="shared" si="607"/>
        <v/>
      </c>
      <c r="CH244" s="184" t="str">
        <f t="shared" si="608"/>
        <v/>
      </c>
      <c r="CI244" s="184" t="str">
        <f t="shared" si="609"/>
        <v/>
      </c>
      <c r="CJ244" s="184" t="str">
        <f t="shared" si="610"/>
        <v/>
      </c>
      <c r="CK244" s="184"/>
      <c r="CM244" s="184"/>
      <c r="CN244"/>
      <c r="CP244"/>
      <c r="CR244"/>
      <c r="CT244"/>
      <c r="CV244"/>
      <c r="CX244"/>
      <c r="CZ244"/>
      <c r="DB244"/>
      <c r="DD244"/>
      <c r="DF244"/>
      <c r="ED244" s="184"/>
      <c r="EF244" s="184"/>
      <c r="EH244" s="184"/>
      <c r="EJ244" s="184"/>
      <c r="EL244" s="184"/>
      <c r="EN244" s="184"/>
      <c r="EP244" s="184"/>
      <c r="ER244" s="184"/>
      <c r="ET244" s="184"/>
      <c r="EV244" s="184"/>
      <c r="EX244" s="184"/>
      <c r="EZ244" s="184"/>
      <c r="FB244" s="184"/>
    </row>
    <row r="245" spans="1:158">
      <c r="A245" s="184">
        <f t="shared" si="653"/>
        <v>52.5</v>
      </c>
      <c r="B245" s="18">
        <f t="shared" si="678"/>
        <v>11285</v>
      </c>
      <c r="C245" s="18">
        <f t="shared" si="674"/>
        <v>14021.666666666853</v>
      </c>
      <c r="D245" s="18">
        <f t="shared" si="674"/>
        <v>18559.166666666693</v>
      </c>
      <c r="E245" s="18">
        <f t="shared" si="674"/>
        <v>22379.166666666533</v>
      </c>
      <c r="F245" s="18">
        <f t="shared" si="674"/>
        <v>11330.833333333267</v>
      </c>
      <c r="G245" s="18">
        <f t="shared" si="674"/>
        <v>14085.833333333147</v>
      </c>
      <c r="H245" s="18">
        <f t="shared" si="674"/>
        <v>18550</v>
      </c>
      <c r="I245" s="18">
        <f t="shared" si="674"/>
        <v>11294.166666666753</v>
      </c>
      <c r="J245" s="18">
        <f t="shared" si="674"/>
        <v>14913.333333333147</v>
      </c>
      <c r="K245" s="18">
        <f t="shared" si="674"/>
        <v>18614.166666666733</v>
      </c>
      <c r="L245" s="18">
        <f t="shared" si="674"/>
        <v>22351.666666666493</v>
      </c>
      <c r="M245" s="18">
        <f t="shared" si="674"/>
        <v>28663.333333333707</v>
      </c>
      <c r="N245" s="18">
        <f t="shared" si="674"/>
        <v>14402.5</v>
      </c>
      <c r="O245" s="18">
        <f t="shared" si="674"/>
        <v>18659.166666666693</v>
      </c>
      <c r="P245" s="18">
        <f t="shared" si="674"/>
        <v>21312.5</v>
      </c>
      <c r="Q245" s="18">
        <f t="shared" si="674"/>
        <v>25623.333333333707</v>
      </c>
      <c r="R245" s="18">
        <f t="shared" si="674"/>
        <v>38027.5</v>
      </c>
      <c r="S245" s="18">
        <f t="shared" si="674"/>
        <v>22595.833333333627</v>
      </c>
      <c r="T245" s="18">
        <f t="shared" si="674"/>
        <v>25627.916666666293</v>
      </c>
      <c r="U245" s="18">
        <f t="shared" si="674"/>
        <v>29265.903333333215</v>
      </c>
      <c r="V245" s="18">
        <f t="shared" si="674"/>
        <v>36970.199999999488</v>
      </c>
      <c r="W245" s="18">
        <f t="shared" si="674"/>
        <v>46418.139999999097</v>
      </c>
      <c r="X245" s="18">
        <f t="shared" si="674"/>
        <v>55975.050000000512</v>
      </c>
      <c r="Y245" s="18">
        <f t="shared" si="674"/>
        <v>55008.333333332586</v>
      </c>
      <c r="Z245" s="18">
        <f t="shared" si="675"/>
        <v>45261.333333332746</v>
      </c>
      <c r="AA245" s="18">
        <f t="shared" si="675"/>
        <v>53202.666666667414</v>
      </c>
      <c r="AB245" s="18">
        <f t="shared" si="675"/>
        <v>67573</v>
      </c>
      <c r="AC245" s="18">
        <f t="shared" si="679"/>
        <v>21700</v>
      </c>
      <c r="AD245" s="18">
        <f t="shared" si="676"/>
        <v>27900</v>
      </c>
      <c r="AE245" s="18">
        <f t="shared" si="676"/>
        <v>32550</v>
      </c>
      <c r="AF245" s="18">
        <f t="shared" si="676"/>
        <v>37200</v>
      </c>
      <c r="AG245" s="18">
        <f t="shared" si="676"/>
        <v>46500</v>
      </c>
      <c r="AH245" s="18">
        <f t="shared" ref="AH245:AK245" si="689">AH244+AH$234*0.05</f>
        <v>29450</v>
      </c>
      <c r="AI245" s="18">
        <f t="shared" si="689"/>
        <v>35340</v>
      </c>
      <c r="AJ245" s="18">
        <f t="shared" si="689"/>
        <v>38750</v>
      </c>
      <c r="AK245" s="18">
        <f t="shared" si="689"/>
        <v>44950</v>
      </c>
      <c r="AL245" s="18">
        <f t="shared" si="676"/>
        <v>34100</v>
      </c>
      <c r="AM245" s="18">
        <f t="shared" si="676"/>
        <v>38750</v>
      </c>
      <c r="AN245" s="18">
        <f t="shared" si="676"/>
        <v>44330</v>
      </c>
      <c r="AO245" s="18">
        <f t="shared" si="676"/>
        <v>69750</v>
      </c>
      <c r="AP245" s="18">
        <f t="shared" si="676"/>
        <v>74400</v>
      </c>
      <c r="AQ245" s="18">
        <f t="shared" si="676"/>
        <v>83700</v>
      </c>
      <c r="AR245" s="18">
        <f t="shared" si="676"/>
        <v>228160</v>
      </c>
      <c r="AS245" s="18">
        <f t="shared" ref="AS245:AS276" si="690">IF(($D$49-A245)&lt;5,0,IF(($D$49-A245)&gt;=($D$49-$C$49),1,MAX(0,MIN(1,(($D$49-8)-A245)/($D$49-($C$49-5))))))*heat_load</f>
        <v>4891.304347826087</v>
      </c>
      <c r="AT245" s="184" t="str">
        <f t="shared" si="570"/>
        <v/>
      </c>
      <c r="AU245" s="184" t="str">
        <f t="shared" si="571"/>
        <v/>
      </c>
      <c r="AV245" s="184" t="str">
        <f t="shared" si="572"/>
        <v/>
      </c>
      <c r="AW245" s="184" t="str">
        <f t="shared" si="573"/>
        <v/>
      </c>
      <c r="AX245" s="184" t="str">
        <f t="shared" si="574"/>
        <v/>
      </c>
      <c r="AY245" s="184" t="str">
        <f t="shared" si="575"/>
        <v/>
      </c>
      <c r="AZ245" s="184" t="str">
        <f t="shared" si="576"/>
        <v/>
      </c>
      <c r="BA245" s="184" t="str">
        <f t="shared" si="577"/>
        <v/>
      </c>
      <c r="BB245" s="184" t="str">
        <f t="shared" si="578"/>
        <v/>
      </c>
      <c r="BC245" s="184" t="str">
        <f t="shared" si="579"/>
        <v/>
      </c>
      <c r="BD245" s="184" t="str">
        <f t="shared" si="580"/>
        <v/>
      </c>
      <c r="BE245" s="184" t="str">
        <f t="shared" si="581"/>
        <v/>
      </c>
      <c r="BF245" s="184" t="str">
        <f t="shared" si="582"/>
        <v/>
      </c>
      <c r="BG245" s="184" t="str">
        <f t="shared" si="583"/>
        <v/>
      </c>
      <c r="BH245" s="184" t="str">
        <f t="shared" si="584"/>
        <v/>
      </c>
      <c r="BI245" s="184" t="str">
        <f t="shared" si="585"/>
        <v/>
      </c>
      <c r="BJ245" s="184" t="str">
        <f t="shared" si="586"/>
        <v/>
      </c>
      <c r="BK245" s="184" t="str">
        <f t="shared" si="587"/>
        <v/>
      </c>
      <c r="BL245" s="184" t="str">
        <f t="shared" si="588"/>
        <v/>
      </c>
      <c r="BM245" s="184" t="str">
        <f t="shared" si="589"/>
        <v/>
      </c>
      <c r="BN245" s="184" t="str">
        <f t="shared" si="590"/>
        <v/>
      </c>
      <c r="BO245" s="184" t="str">
        <f t="shared" si="591"/>
        <v/>
      </c>
      <c r="BP245" s="184" t="str">
        <f t="shared" si="592"/>
        <v/>
      </c>
      <c r="BQ245" s="184" t="str">
        <f t="shared" si="593"/>
        <v/>
      </c>
      <c r="BR245" s="184" t="str">
        <f t="shared" si="660"/>
        <v/>
      </c>
      <c r="BS245" s="184" t="str">
        <f t="shared" si="660"/>
        <v/>
      </c>
      <c r="BT245" s="184" t="str">
        <f t="shared" si="660"/>
        <v/>
      </c>
      <c r="BU245" s="184" t="str">
        <f t="shared" si="595"/>
        <v/>
      </c>
      <c r="BV245" s="184" t="str">
        <f t="shared" si="596"/>
        <v/>
      </c>
      <c r="BW245" s="184" t="str">
        <f t="shared" si="597"/>
        <v/>
      </c>
      <c r="BX245" s="184" t="str">
        <f t="shared" si="598"/>
        <v/>
      </c>
      <c r="BY245" s="184" t="str">
        <f t="shared" si="599"/>
        <v/>
      </c>
      <c r="BZ245" s="184" t="str">
        <f t="shared" si="600"/>
        <v/>
      </c>
      <c r="CA245" s="184" t="str">
        <f t="shared" si="601"/>
        <v/>
      </c>
      <c r="CB245" s="184" t="str">
        <f t="shared" si="602"/>
        <v/>
      </c>
      <c r="CC245" s="184" t="str">
        <f t="shared" si="603"/>
        <v/>
      </c>
      <c r="CD245" s="184" t="str">
        <f t="shared" si="604"/>
        <v/>
      </c>
      <c r="CE245" s="184" t="str">
        <f t="shared" si="605"/>
        <v/>
      </c>
      <c r="CF245" s="184" t="str">
        <f t="shared" si="606"/>
        <v/>
      </c>
      <c r="CG245" s="184" t="str">
        <f t="shared" si="607"/>
        <v/>
      </c>
      <c r="CH245" s="184" t="str">
        <f t="shared" si="608"/>
        <v/>
      </c>
      <c r="CI245" s="184" t="str">
        <f t="shared" si="609"/>
        <v/>
      </c>
      <c r="CJ245" s="184" t="str">
        <f t="shared" si="610"/>
        <v/>
      </c>
      <c r="CK245" s="184"/>
      <c r="CM245" s="184"/>
      <c r="CN245"/>
      <c r="CP245"/>
      <c r="CR245"/>
      <c r="CT245"/>
      <c r="CV245"/>
      <c r="CX245"/>
      <c r="CZ245"/>
      <c r="DB245"/>
      <c r="DD245"/>
      <c r="DF245"/>
      <c r="ED245" s="184"/>
      <c r="EF245" s="184"/>
      <c r="EH245" s="184"/>
      <c r="EJ245" s="184"/>
      <c r="EL245" s="184"/>
      <c r="EN245" s="184"/>
      <c r="EP245" s="184"/>
      <c r="ER245" s="184"/>
      <c r="ET245" s="184"/>
      <c r="EV245" s="184"/>
      <c r="EX245" s="184"/>
      <c r="EZ245" s="184"/>
      <c r="FB245" s="184"/>
    </row>
    <row r="246" spans="1:158">
      <c r="A246" s="184">
        <f t="shared" si="653"/>
        <v>53</v>
      </c>
      <c r="B246" s="18">
        <f t="shared" si="678"/>
        <v>11320</v>
      </c>
      <c r="C246" s="18">
        <f t="shared" si="674"/>
        <v>14060.000000000204</v>
      </c>
      <c r="D246" s="18">
        <f t="shared" si="674"/>
        <v>18610.000000000029</v>
      </c>
      <c r="E246" s="18">
        <f t="shared" ref="E246:E282" si="691">E245+(E$234-E$233)/2</f>
        <v>22449.999999999854</v>
      </c>
      <c r="F246" s="18">
        <f t="shared" ref="F246:F282" si="692">F245+(F$234-F$233)/2</f>
        <v>11369.999999999927</v>
      </c>
      <c r="G246" s="18">
        <f t="shared" ref="G246:G282" si="693">G245+(G$234-G$233)/2</f>
        <v>14129.999999999796</v>
      </c>
      <c r="H246" s="18">
        <f t="shared" ref="H246:H282" si="694">H245+(H$234-H$233)/2</f>
        <v>18600</v>
      </c>
      <c r="I246" s="18">
        <f t="shared" ref="I246:I282" si="695">I245+(I$234-I$233)/2</f>
        <v>11330.000000000095</v>
      </c>
      <c r="J246" s="18">
        <f t="shared" ref="J246:J282" si="696">J245+(J$234-J$233)/2</f>
        <v>14959.999999999796</v>
      </c>
      <c r="K246" s="18">
        <f t="shared" ref="K246:K282" si="697">K245+(K$234-K$233)/2</f>
        <v>18670.000000000073</v>
      </c>
      <c r="L246" s="18">
        <f t="shared" ref="L246:L282" si="698">L245+(L$234-L$233)/2</f>
        <v>22419.999999999811</v>
      </c>
      <c r="M246" s="18">
        <f t="shared" ref="M246:M282" si="699">M245+(M$234-M$233)/2</f>
        <v>28760.000000000407</v>
      </c>
      <c r="N246" s="18">
        <f t="shared" ref="N246:N282" si="700">N245+(N$234-N$233)/2</f>
        <v>14430</v>
      </c>
      <c r="O246" s="18">
        <f t="shared" ref="O246:O282" si="701">O245+(O$234-O$233)/2</f>
        <v>18710.000000000029</v>
      </c>
      <c r="P246" s="18">
        <f t="shared" ref="P246:P282" si="702">P245+(P$234-P$233)/2</f>
        <v>21350</v>
      </c>
      <c r="Q246" s="18">
        <f t="shared" ref="Q246:Q282" si="703">Q245+(Q$234-Q$233)/2</f>
        <v>25680.000000000407</v>
      </c>
      <c r="R246" s="18">
        <f t="shared" ref="R246:R282" si="704">R245+(R$234-R$233)/2</f>
        <v>38130</v>
      </c>
      <c r="S246" s="18">
        <f t="shared" ref="S246:S282" si="705">S245+(S$234-S$233)/2</f>
        <v>22650.00000000032</v>
      </c>
      <c r="T246" s="18">
        <f t="shared" ref="T246:T282" si="706">T245+(T$234-T$233)/2</f>
        <v>25684.999999999593</v>
      </c>
      <c r="U246" s="18">
        <f t="shared" ref="U246:U282" si="707">U245+(U$234-U$233)/2</f>
        <v>29326.439999999871</v>
      </c>
      <c r="V246" s="18">
        <f t="shared" ref="V246:V282" si="708">V245+(V$234-V$233)/2</f>
        <v>37058.399999999441</v>
      </c>
      <c r="W246" s="18">
        <f t="shared" ref="W246:W282" si="709">W245+(W$234-W$233)/2</f>
        <v>46528.879999999015</v>
      </c>
      <c r="X246" s="18">
        <f t="shared" ref="X246:Z282" si="710">X245+(X$234-X$233)/2</f>
        <v>56154.600000000559</v>
      </c>
      <c r="Y246" s="18">
        <f t="shared" ref="Y246:Y282" si="711">Y245+(Y$234-Y$233)/2</f>
        <v>55099.999999999185</v>
      </c>
      <c r="Z246" s="18">
        <f t="shared" si="710"/>
        <v>45375.99999999936</v>
      </c>
      <c r="AA246" s="18">
        <f t="shared" ref="AA246:AB246" si="712">AA245+(AA$234-AA$233)/2</f>
        <v>53312.000000000815</v>
      </c>
      <c r="AB246" s="18">
        <f t="shared" si="712"/>
        <v>67716</v>
      </c>
      <c r="AC246" s="18">
        <f t="shared" si="679"/>
        <v>22400</v>
      </c>
      <c r="AD246" s="18">
        <f t="shared" si="676"/>
        <v>28800</v>
      </c>
      <c r="AE246" s="18">
        <f t="shared" si="676"/>
        <v>33600</v>
      </c>
      <c r="AF246" s="18">
        <f t="shared" si="676"/>
        <v>38400</v>
      </c>
      <c r="AG246" s="18">
        <f t="shared" si="676"/>
        <v>48000</v>
      </c>
      <c r="AH246" s="18">
        <f t="shared" ref="AH246:AK246" si="713">AH245+AH$234*0.05</f>
        <v>30400</v>
      </c>
      <c r="AI246" s="18">
        <f t="shared" si="713"/>
        <v>36480</v>
      </c>
      <c r="AJ246" s="18">
        <f t="shared" si="713"/>
        <v>40000</v>
      </c>
      <c r="AK246" s="18">
        <f t="shared" si="713"/>
        <v>46400</v>
      </c>
      <c r="AL246" s="18">
        <f t="shared" si="676"/>
        <v>35200</v>
      </c>
      <c r="AM246" s="18">
        <f t="shared" si="676"/>
        <v>40000</v>
      </c>
      <c r="AN246" s="18">
        <f t="shared" si="676"/>
        <v>45760</v>
      </c>
      <c r="AO246" s="18">
        <f t="shared" si="676"/>
        <v>72000</v>
      </c>
      <c r="AP246" s="18">
        <f t="shared" si="676"/>
        <v>76800</v>
      </c>
      <c r="AQ246" s="18">
        <f t="shared" si="676"/>
        <v>86400</v>
      </c>
      <c r="AR246" s="18">
        <f t="shared" si="676"/>
        <v>235520</v>
      </c>
      <c r="AS246" s="18">
        <f t="shared" si="690"/>
        <v>4565.217391304348</v>
      </c>
      <c r="AT246" s="184" t="str">
        <f t="shared" ref="AT246:AT282" si="714">IF(AND(B246&gt;=$AS246,B245&lt;$AS245),1,"")</f>
        <v/>
      </c>
      <c r="AU246" s="184" t="str">
        <f t="shared" ref="AU246:AU282" si="715">IF(AND(C246&gt;=$AS246,C245&lt;$AS245),1,"")</f>
        <v/>
      </c>
      <c r="AV246" s="184" t="str">
        <f t="shared" ref="AV246:AV282" si="716">IF(AND(D246&gt;=$AS246,D245&lt;$AS245),1,"")</f>
        <v/>
      </c>
      <c r="AW246" s="184" t="str">
        <f t="shared" ref="AW246:AW282" si="717">IF(AND(E246&gt;=$AS246,E245&lt;$AS245),1,"")</f>
        <v/>
      </c>
      <c r="AX246" s="184" t="str">
        <f t="shared" ref="AX246:AX282" si="718">IF(AND(F246&gt;=$AS246,F245&lt;$AS245),1,"")</f>
        <v/>
      </c>
      <c r="AY246" s="184" t="str">
        <f t="shared" ref="AY246:AY282" si="719">IF(AND(G246&gt;=$AS246,G245&lt;$AS245),1,"")</f>
        <v/>
      </c>
      <c r="AZ246" s="184" t="str">
        <f t="shared" ref="AZ246:AZ282" si="720">IF(AND(H246&gt;=$AS246,H245&lt;$AS245),1,"")</f>
        <v/>
      </c>
      <c r="BA246" s="184" t="str">
        <f t="shared" ref="BA246:BA282" si="721">IF(AND(I246&gt;=$AS246,I245&lt;$AS245),1,"")</f>
        <v/>
      </c>
      <c r="BB246" s="184" t="str">
        <f t="shared" ref="BB246:BB282" si="722">IF(AND(J246&gt;=$AS246,J245&lt;$AS245),1,"")</f>
        <v/>
      </c>
      <c r="BC246" s="184" t="str">
        <f t="shared" ref="BC246:BC282" si="723">IF(AND(K246&gt;=$AS246,K245&lt;$AS245),1,"")</f>
        <v/>
      </c>
      <c r="BD246" s="184" t="str">
        <f t="shared" ref="BD246:BD282" si="724">IF(AND(L246&gt;=$AS246,L245&lt;$AS245),1,"")</f>
        <v/>
      </c>
      <c r="BE246" s="184" t="str">
        <f t="shared" ref="BE246:BE282" si="725">IF(AND(M246&gt;=$AS246,M245&lt;$AS245),1,"")</f>
        <v/>
      </c>
      <c r="BF246" s="184" t="str">
        <f t="shared" ref="BF246:BF282" si="726">IF(AND(N246&gt;=$AS246,N245&lt;$AS245),1,"")</f>
        <v/>
      </c>
      <c r="BG246" s="184" t="str">
        <f t="shared" ref="BG246:BG282" si="727">IF(AND(O246&gt;=$AS246,O245&lt;$AS245),1,"")</f>
        <v/>
      </c>
      <c r="BH246" s="184" t="str">
        <f t="shared" ref="BH246:BH282" si="728">IF(AND(P246&gt;=$AS246,P245&lt;$AS245),1,"")</f>
        <v/>
      </c>
      <c r="BI246" s="184" t="str">
        <f t="shared" ref="BI246:BI282" si="729">IF(AND(Q246&gt;=$AS246,Q245&lt;$AS245),1,"")</f>
        <v/>
      </c>
      <c r="BJ246" s="184" t="str">
        <f t="shared" ref="BJ246:BJ282" si="730">IF(AND(R246&gt;=$AS246,R245&lt;$AS245),1,"")</f>
        <v/>
      </c>
      <c r="BK246" s="184" t="str">
        <f t="shared" ref="BK246:BK282" si="731">IF(AND(S246&gt;=$AS246,S245&lt;$AS245),1,"")</f>
        <v/>
      </c>
      <c r="BL246" s="184" t="str">
        <f t="shared" ref="BL246:BL282" si="732">IF(AND(T246&gt;=$AS246,T245&lt;$AS245),1,"")</f>
        <v/>
      </c>
      <c r="BM246" s="184" t="str">
        <f t="shared" ref="BM246:BM282" si="733">IF(AND(U246&gt;=$AS246,U245&lt;$AS245),1,"")</f>
        <v/>
      </c>
      <c r="BN246" s="184" t="str">
        <f t="shared" ref="BN246:BN282" si="734">IF(AND(V246&gt;=$AS246,V245&lt;$AS245),1,"")</f>
        <v/>
      </c>
      <c r="BO246" s="184" t="str">
        <f t="shared" ref="BO246:BO282" si="735">IF(AND(W246&gt;=$AS246,W245&lt;$AS245),1,"")</f>
        <v/>
      </c>
      <c r="BP246" s="184" t="str">
        <f t="shared" ref="BP246:BP282" si="736">IF(AND(X246&gt;=$AS246,X245&lt;$AS245),1,"")</f>
        <v/>
      </c>
      <c r="BQ246" s="184" t="str">
        <f t="shared" ref="BQ246:BQ282" si="737">IF(AND(Y246&gt;=$AS246,Y245&lt;$AS245),1,"")</f>
        <v/>
      </c>
      <c r="BR246" s="184" t="str">
        <f t="shared" ref="BR246:BT261" si="738">IF(AND(Z246&gt;=$AS246,Z245&lt;$AS245),1,"")</f>
        <v/>
      </c>
      <c r="BS246" s="184" t="str">
        <f t="shared" si="738"/>
        <v/>
      </c>
      <c r="BT246" s="184" t="str">
        <f t="shared" si="738"/>
        <v/>
      </c>
      <c r="BU246" s="184" t="str">
        <f t="shared" ref="BU246:BU282" si="739">IF(AND(AC246&gt;=$AS246,AC245&lt;$AS245),1,"")</f>
        <v/>
      </c>
      <c r="BV246" s="184" t="str">
        <f t="shared" ref="BV246:BV282" si="740">IF(AND(AD246&gt;=$AS246,AD245&lt;$AS245),1,"")</f>
        <v/>
      </c>
      <c r="BW246" s="184" t="str">
        <f t="shared" ref="BW246:BW282" si="741">IF(AND(AE246&gt;=$AS246,AE245&lt;$AS245),1,"")</f>
        <v/>
      </c>
      <c r="BX246" s="184" t="str">
        <f t="shared" ref="BX246:BX282" si="742">IF(AND(AF246&gt;=$AS246,AF245&lt;$AS245),1,"")</f>
        <v/>
      </c>
      <c r="BY246" s="184" t="str">
        <f t="shared" ref="BY246:BY282" si="743">IF(AND(AG246&gt;=$AS246,AG245&lt;$AS245),1,"")</f>
        <v/>
      </c>
      <c r="BZ246" s="184" t="str">
        <f t="shared" ref="BZ246:BZ282" si="744">IF(AND(AH246&gt;=$AS246,AH245&lt;$AS245),1,"")</f>
        <v/>
      </c>
      <c r="CA246" s="184" t="str">
        <f t="shared" ref="CA246:CA282" si="745">IF(AND(AI246&gt;=$AS246,AI245&lt;$AS245),1,"")</f>
        <v/>
      </c>
      <c r="CB246" s="184" t="str">
        <f t="shared" ref="CB246:CB282" si="746">IF(AND(AJ246&gt;=$AS246,AJ245&lt;$AS245),1,"")</f>
        <v/>
      </c>
      <c r="CC246" s="184" t="str">
        <f t="shared" ref="CC246:CC282" si="747">IF(AND(AK246&gt;=$AS246,AK245&lt;$AS245),1,"")</f>
        <v/>
      </c>
      <c r="CD246" s="184" t="str">
        <f t="shared" ref="CD246:CD282" si="748">IF(AND(AL246&gt;=$AS246,AL245&lt;$AS245),1,"")</f>
        <v/>
      </c>
      <c r="CE246" s="184" t="str">
        <f t="shared" ref="CE246:CE282" si="749">IF(AND(AM246&gt;=$AS246,AM245&lt;$AS245),1,"")</f>
        <v/>
      </c>
      <c r="CF246" s="184" t="str">
        <f t="shared" ref="CF246:CF282" si="750">IF(AND(AN246&gt;=$AS246,AN245&lt;$AS245),1,"")</f>
        <v/>
      </c>
      <c r="CG246" s="184" t="str">
        <f t="shared" ref="CG246:CG282" si="751">IF(AND(AO246&gt;=$AS246,AO245&lt;$AS245),1,"")</f>
        <v/>
      </c>
      <c r="CH246" s="184" t="str">
        <f t="shared" ref="CH246:CH282" si="752">IF(AND(AP246&gt;=$AS246,AP245&lt;$AS245),1,"")</f>
        <v/>
      </c>
      <c r="CI246" s="184" t="str">
        <f t="shared" ref="CI246:CI282" si="753">IF(AND(AQ246&gt;=$AS246,AQ245&lt;$AS245),1,"")</f>
        <v/>
      </c>
      <c r="CJ246" s="184" t="str">
        <f t="shared" ref="CJ246:CJ282" si="754">IF(AND(AR246&gt;=$AS246,AR245&lt;$AS245),1,"")</f>
        <v/>
      </c>
      <c r="CK246" s="184"/>
      <c r="CM246" s="184"/>
      <c r="CN246"/>
      <c r="CP246"/>
      <c r="CR246"/>
      <c r="CT246"/>
      <c r="CV246"/>
      <c r="CX246"/>
      <c r="CZ246"/>
      <c r="DB246"/>
      <c r="DD246"/>
      <c r="DF246"/>
      <c r="ED246" s="184"/>
      <c r="EF246" s="184"/>
      <c r="EH246" s="184"/>
      <c r="EJ246" s="184"/>
      <c r="EL246" s="184"/>
      <c r="EN246" s="184"/>
      <c r="EP246" s="184"/>
      <c r="ER246" s="184"/>
      <c r="ET246" s="184"/>
      <c r="EV246" s="184"/>
      <c r="EX246" s="184"/>
      <c r="EZ246" s="184"/>
      <c r="FB246" s="184"/>
    </row>
    <row r="247" spans="1:158">
      <c r="A247" s="184">
        <f t="shared" si="653"/>
        <v>53.5</v>
      </c>
      <c r="B247" s="18">
        <f t="shared" si="678"/>
        <v>11355</v>
      </c>
      <c r="C247" s="18">
        <f t="shared" ref="C247:C282" si="755">C246+(C$234-C$233)/2</f>
        <v>14098.333333333554</v>
      </c>
      <c r="D247" s="18">
        <f t="shared" ref="D247:D282" si="756">D246+(D$234-D$233)/2</f>
        <v>18660.833333333365</v>
      </c>
      <c r="E247" s="18">
        <f t="shared" si="691"/>
        <v>22520.833333333176</v>
      </c>
      <c r="F247" s="18">
        <f t="shared" si="692"/>
        <v>11409.166666666588</v>
      </c>
      <c r="G247" s="18">
        <f t="shared" si="693"/>
        <v>14174.166666666446</v>
      </c>
      <c r="H247" s="18">
        <f t="shared" si="694"/>
        <v>18650</v>
      </c>
      <c r="I247" s="18">
        <f t="shared" si="695"/>
        <v>11365.833333333436</v>
      </c>
      <c r="J247" s="18">
        <f t="shared" si="696"/>
        <v>15006.666666666446</v>
      </c>
      <c r="K247" s="18">
        <f t="shared" si="697"/>
        <v>18725.833333333412</v>
      </c>
      <c r="L247" s="18">
        <f t="shared" si="698"/>
        <v>22488.333333333128</v>
      </c>
      <c r="M247" s="18">
        <f t="shared" si="699"/>
        <v>28856.666666667108</v>
      </c>
      <c r="N247" s="18">
        <f t="shared" si="700"/>
        <v>14457.5</v>
      </c>
      <c r="O247" s="18">
        <f t="shared" si="701"/>
        <v>18760.833333333365</v>
      </c>
      <c r="P247" s="18">
        <f t="shared" si="702"/>
        <v>21387.5</v>
      </c>
      <c r="Q247" s="18">
        <f t="shared" si="703"/>
        <v>25736.666666667108</v>
      </c>
      <c r="R247" s="18">
        <f t="shared" si="704"/>
        <v>38232.5</v>
      </c>
      <c r="S247" s="18">
        <f t="shared" si="705"/>
        <v>22704.166666667013</v>
      </c>
      <c r="T247" s="18">
        <f t="shared" si="706"/>
        <v>25742.083333332892</v>
      </c>
      <c r="U247" s="18">
        <f t="shared" si="707"/>
        <v>29386.976666666527</v>
      </c>
      <c r="V247" s="18">
        <f t="shared" si="708"/>
        <v>37146.599999999395</v>
      </c>
      <c r="W247" s="18">
        <f t="shared" si="709"/>
        <v>46639.619999998933</v>
      </c>
      <c r="X247" s="18">
        <f t="shared" si="710"/>
        <v>56334.150000000605</v>
      </c>
      <c r="Y247" s="18">
        <f t="shared" si="711"/>
        <v>55191.666666665784</v>
      </c>
      <c r="Z247" s="18">
        <f t="shared" si="710"/>
        <v>45490.666666665973</v>
      </c>
      <c r="AA247" s="18">
        <f t="shared" ref="AA247:AB247" si="757">AA246+(AA$234-AA$233)/2</f>
        <v>53421.333333334216</v>
      </c>
      <c r="AB247" s="18">
        <f t="shared" si="757"/>
        <v>67859</v>
      </c>
      <c r="AC247" s="18">
        <f t="shared" si="679"/>
        <v>23100</v>
      </c>
      <c r="AD247" s="18">
        <f t="shared" si="676"/>
        <v>29700</v>
      </c>
      <c r="AE247" s="18">
        <f t="shared" si="676"/>
        <v>34650</v>
      </c>
      <c r="AF247" s="18">
        <f t="shared" si="676"/>
        <v>39600</v>
      </c>
      <c r="AG247" s="18">
        <f t="shared" si="676"/>
        <v>49500</v>
      </c>
      <c r="AH247" s="18">
        <f t="shared" ref="AH247:AK247" si="758">AH246+AH$234*0.05</f>
        <v>31350</v>
      </c>
      <c r="AI247" s="18">
        <f t="shared" si="758"/>
        <v>37620</v>
      </c>
      <c r="AJ247" s="18">
        <f t="shared" si="758"/>
        <v>41250</v>
      </c>
      <c r="AK247" s="18">
        <f t="shared" si="758"/>
        <v>47850</v>
      </c>
      <c r="AL247" s="18">
        <f t="shared" si="676"/>
        <v>36300</v>
      </c>
      <c r="AM247" s="18">
        <f t="shared" si="676"/>
        <v>41250</v>
      </c>
      <c r="AN247" s="18">
        <f t="shared" si="676"/>
        <v>47190</v>
      </c>
      <c r="AO247" s="18">
        <f t="shared" si="676"/>
        <v>74250</v>
      </c>
      <c r="AP247" s="18">
        <f t="shared" si="676"/>
        <v>79200</v>
      </c>
      <c r="AQ247" s="18">
        <f t="shared" si="676"/>
        <v>89100</v>
      </c>
      <c r="AR247" s="18">
        <f t="shared" si="676"/>
        <v>242880</v>
      </c>
      <c r="AS247" s="18">
        <f t="shared" si="690"/>
        <v>4239.130434782609</v>
      </c>
      <c r="AT247" s="184" t="str">
        <f t="shared" si="714"/>
        <v/>
      </c>
      <c r="AU247" s="184" t="str">
        <f t="shared" si="715"/>
        <v/>
      </c>
      <c r="AV247" s="184" t="str">
        <f t="shared" si="716"/>
        <v/>
      </c>
      <c r="AW247" s="184" t="str">
        <f t="shared" si="717"/>
        <v/>
      </c>
      <c r="AX247" s="184" t="str">
        <f t="shared" si="718"/>
        <v/>
      </c>
      <c r="AY247" s="184" t="str">
        <f t="shared" si="719"/>
        <v/>
      </c>
      <c r="AZ247" s="184" t="str">
        <f t="shared" si="720"/>
        <v/>
      </c>
      <c r="BA247" s="184" t="str">
        <f t="shared" si="721"/>
        <v/>
      </c>
      <c r="BB247" s="184" t="str">
        <f t="shared" si="722"/>
        <v/>
      </c>
      <c r="BC247" s="184" t="str">
        <f t="shared" si="723"/>
        <v/>
      </c>
      <c r="BD247" s="184" t="str">
        <f t="shared" si="724"/>
        <v/>
      </c>
      <c r="BE247" s="184" t="str">
        <f t="shared" si="725"/>
        <v/>
      </c>
      <c r="BF247" s="184" t="str">
        <f t="shared" si="726"/>
        <v/>
      </c>
      <c r="BG247" s="184" t="str">
        <f t="shared" si="727"/>
        <v/>
      </c>
      <c r="BH247" s="184" t="str">
        <f t="shared" si="728"/>
        <v/>
      </c>
      <c r="BI247" s="184" t="str">
        <f t="shared" si="729"/>
        <v/>
      </c>
      <c r="BJ247" s="184" t="str">
        <f t="shared" si="730"/>
        <v/>
      </c>
      <c r="BK247" s="184" t="str">
        <f t="shared" si="731"/>
        <v/>
      </c>
      <c r="BL247" s="184" t="str">
        <f t="shared" si="732"/>
        <v/>
      </c>
      <c r="BM247" s="184" t="str">
        <f t="shared" si="733"/>
        <v/>
      </c>
      <c r="BN247" s="184" t="str">
        <f t="shared" si="734"/>
        <v/>
      </c>
      <c r="BO247" s="184" t="str">
        <f t="shared" si="735"/>
        <v/>
      </c>
      <c r="BP247" s="184" t="str">
        <f t="shared" si="736"/>
        <v/>
      </c>
      <c r="BQ247" s="184" t="str">
        <f t="shared" si="737"/>
        <v/>
      </c>
      <c r="BR247" s="184" t="str">
        <f t="shared" si="738"/>
        <v/>
      </c>
      <c r="BS247" s="184" t="str">
        <f t="shared" si="738"/>
        <v/>
      </c>
      <c r="BT247" s="184" t="str">
        <f t="shared" si="738"/>
        <v/>
      </c>
      <c r="BU247" s="184" t="str">
        <f t="shared" si="739"/>
        <v/>
      </c>
      <c r="BV247" s="184" t="str">
        <f t="shared" si="740"/>
        <v/>
      </c>
      <c r="BW247" s="184" t="str">
        <f t="shared" si="741"/>
        <v/>
      </c>
      <c r="BX247" s="184" t="str">
        <f t="shared" si="742"/>
        <v/>
      </c>
      <c r="BY247" s="184" t="str">
        <f t="shared" si="743"/>
        <v/>
      </c>
      <c r="BZ247" s="184" t="str">
        <f t="shared" si="744"/>
        <v/>
      </c>
      <c r="CA247" s="184" t="str">
        <f t="shared" si="745"/>
        <v/>
      </c>
      <c r="CB247" s="184" t="str">
        <f t="shared" si="746"/>
        <v/>
      </c>
      <c r="CC247" s="184" t="str">
        <f t="shared" si="747"/>
        <v/>
      </c>
      <c r="CD247" s="184" t="str">
        <f t="shared" si="748"/>
        <v/>
      </c>
      <c r="CE247" s="184" t="str">
        <f t="shared" si="749"/>
        <v/>
      </c>
      <c r="CF247" s="184" t="str">
        <f t="shared" si="750"/>
        <v/>
      </c>
      <c r="CG247" s="184" t="str">
        <f t="shared" si="751"/>
        <v/>
      </c>
      <c r="CH247" s="184" t="str">
        <f t="shared" si="752"/>
        <v/>
      </c>
      <c r="CI247" s="184" t="str">
        <f t="shared" si="753"/>
        <v/>
      </c>
      <c r="CJ247" s="184" t="str">
        <f t="shared" si="754"/>
        <v/>
      </c>
      <c r="CK247" s="184"/>
      <c r="CM247" s="184"/>
      <c r="CN247"/>
      <c r="CP247"/>
      <c r="CR247"/>
      <c r="CT247"/>
      <c r="CV247"/>
      <c r="CX247"/>
      <c r="CZ247"/>
      <c r="DB247"/>
      <c r="DD247"/>
      <c r="DF247"/>
      <c r="ED247" s="184"/>
      <c r="EF247" s="184"/>
      <c r="EH247" s="184"/>
      <c r="EJ247" s="184"/>
      <c r="EL247" s="184"/>
      <c r="EN247" s="184"/>
      <c r="EP247" s="184"/>
      <c r="ER247" s="184"/>
      <c r="ET247" s="184"/>
      <c r="EV247" s="184"/>
      <c r="EX247" s="184"/>
      <c r="EZ247" s="184"/>
      <c r="FB247" s="184"/>
    </row>
    <row r="248" spans="1:158">
      <c r="A248" s="184">
        <f t="shared" si="653"/>
        <v>54</v>
      </c>
      <c r="B248" s="18">
        <f t="shared" si="678"/>
        <v>11390</v>
      </c>
      <c r="C248" s="18">
        <f t="shared" si="755"/>
        <v>14136.666666666904</v>
      </c>
      <c r="D248" s="18">
        <f t="shared" si="756"/>
        <v>18711.666666666701</v>
      </c>
      <c r="E248" s="18">
        <f t="shared" si="691"/>
        <v>22591.666666666497</v>
      </c>
      <c r="F248" s="18">
        <f t="shared" si="692"/>
        <v>11448.333333333248</v>
      </c>
      <c r="G248" s="18">
        <f t="shared" si="693"/>
        <v>14218.333333333096</v>
      </c>
      <c r="H248" s="18">
        <f t="shared" si="694"/>
        <v>18700</v>
      </c>
      <c r="I248" s="18">
        <f t="shared" si="695"/>
        <v>11401.666666666777</v>
      </c>
      <c r="J248" s="18">
        <f t="shared" si="696"/>
        <v>15053.333333333096</v>
      </c>
      <c r="K248" s="18">
        <f t="shared" si="697"/>
        <v>18781.666666666752</v>
      </c>
      <c r="L248" s="18">
        <f t="shared" si="698"/>
        <v>22556.666666666446</v>
      </c>
      <c r="M248" s="18">
        <f t="shared" si="699"/>
        <v>28953.333333333809</v>
      </c>
      <c r="N248" s="18">
        <f t="shared" si="700"/>
        <v>14485</v>
      </c>
      <c r="O248" s="18">
        <f t="shared" si="701"/>
        <v>18811.666666666701</v>
      </c>
      <c r="P248" s="18">
        <f t="shared" si="702"/>
        <v>21425</v>
      </c>
      <c r="Q248" s="18">
        <f t="shared" si="703"/>
        <v>25793.333333333809</v>
      </c>
      <c r="R248" s="18">
        <f t="shared" si="704"/>
        <v>38335</v>
      </c>
      <c r="S248" s="18">
        <f t="shared" si="705"/>
        <v>22758.333333333707</v>
      </c>
      <c r="T248" s="18">
        <f t="shared" si="706"/>
        <v>25799.166666666191</v>
      </c>
      <c r="U248" s="18">
        <f t="shared" si="707"/>
        <v>29447.513333333183</v>
      </c>
      <c r="V248" s="18">
        <f t="shared" si="708"/>
        <v>37234.799999999348</v>
      </c>
      <c r="W248" s="18">
        <f t="shared" si="709"/>
        <v>46750.359999998851</v>
      </c>
      <c r="X248" s="18">
        <f t="shared" si="710"/>
        <v>56513.700000000652</v>
      </c>
      <c r="Y248" s="18">
        <f t="shared" si="711"/>
        <v>55283.333333332383</v>
      </c>
      <c r="Z248" s="18">
        <f t="shared" si="710"/>
        <v>45605.333333332586</v>
      </c>
      <c r="AA248" s="18">
        <f t="shared" ref="AA248:AB248" si="759">AA247+(AA$234-AA$233)/2</f>
        <v>53530.666666667617</v>
      </c>
      <c r="AB248" s="18">
        <f t="shared" si="759"/>
        <v>68002</v>
      </c>
      <c r="AC248" s="18">
        <f t="shared" si="679"/>
        <v>23800</v>
      </c>
      <c r="AD248" s="18">
        <f t="shared" si="676"/>
        <v>30600</v>
      </c>
      <c r="AE248" s="18">
        <f t="shared" si="676"/>
        <v>35700</v>
      </c>
      <c r="AF248" s="18">
        <f t="shared" si="676"/>
        <v>40800</v>
      </c>
      <c r="AG248" s="18">
        <f t="shared" si="676"/>
        <v>51000</v>
      </c>
      <c r="AH248" s="18">
        <f t="shared" ref="AH248:AK248" si="760">AH247+AH$234*0.05</f>
        <v>32300</v>
      </c>
      <c r="AI248" s="18">
        <f t="shared" si="760"/>
        <v>38760</v>
      </c>
      <c r="AJ248" s="18">
        <f t="shared" si="760"/>
        <v>42500</v>
      </c>
      <c r="AK248" s="18">
        <f t="shared" si="760"/>
        <v>49300</v>
      </c>
      <c r="AL248" s="18">
        <f t="shared" si="676"/>
        <v>37400</v>
      </c>
      <c r="AM248" s="18">
        <f t="shared" si="676"/>
        <v>42500</v>
      </c>
      <c r="AN248" s="18">
        <f t="shared" si="676"/>
        <v>48620</v>
      </c>
      <c r="AO248" s="18">
        <f t="shared" si="676"/>
        <v>76500</v>
      </c>
      <c r="AP248" s="18">
        <f t="shared" si="676"/>
        <v>81600</v>
      </c>
      <c r="AQ248" s="18">
        <f t="shared" si="676"/>
        <v>91800</v>
      </c>
      <c r="AR248" s="18">
        <f t="shared" si="676"/>
        <v>250240</v>
      </c>
      <c r="AS248" s="18">
        <f t="shared" si="690"/>
        <v>3913.0434782608695</v>
      </c>
      <c r="AT248" s="184" t="str">
        <f t="shared" si="714"/>
        <v/>
      </c>
      <c r="AU248" s="184" t="str">
        <f t="shared" si="715"/>
        <v/>
      </c>
      <c r="AV248" s="184" t="str">
        <f t="shared" si="716"/>
        <v/>
      </c>
      <c r="AW248" s="184" t="str">
        <f t="shared" si="717"/>
        <v/>
      </c>
      <c r="AX248" s="184" t="str">
        <f t="shared" si="718"/>
        <v/>
      </c>
      <c r="AY248" s="184" t="str">
        <f t="shared" si="719"/>
        <v/>
      </c>
      <c r="AZ248" s="184" t="str">
        <f t="shared" si="720"/>
        <v/>
      </c>
      <c r="BA248" s="184" t="str">
        <f t="shared" si="721"/>
        <v/>
      </c>
      <c r="BB248" s="184" t="str">
        <f t="shared" si="722"/>
        <v/>
      </c>
      <c r="BC248" s="184" t="str">
        <f t="shared" si="723"/>
        <v/>
      </c>
      <c r="BD248" s="184" t="str">
        <f t="shared" si="724"/>
        <v/>
      </c>
      <c r="BE248" s="184" t="str">
        <f t="shared" si="725"/>
        <v/>
      </c>
      <c r="BF248" s="184" t="str">
        <f t="shared" si="726"/>
        <v/>
      </c>
      <c r="BG248" s="184" t="str">
        <f t="shared" si="727"/>
        <v/>
      </c>
      <c r="BH248" s="184" t="str">
        <f t="shared" si="728"/>
        <v/>
      </c>
      <c r="BI248" s="184" t="str">
        <f t="shared" si="729"/>
        <v/>
      </c>
      <c r="BJ248" s="184" t="str">
        <f t="shared" si="730"/>
        <v/>
      </c>
      <c r="BK248" s="184" t="str">
        <f t="shared" si="731"/>
        <v/>
      </c>
      <c r="BL248" s="184" t="str">
        <f t="shared" si="732"/>
        <v/>
      </c>
      <c r="BM248" s="184" t="str">
        <f t="shared" si="733"/>
        <v/>
      </c>
      <c r="BN248" s="184" t="str">
        <f t="shared" si="734"/>
        <v/>
      </c>
      <c r="BO248" s="184" t="str">
        <f t="shared" si="735"/>
        <v/>
      </c>
      <c r="BP248" s="184" t="str">
        <f t="shared" si="736"/>
        <v/>
      </c>
      <c r="BQ248" s="184" t="str">
        <f t="shared" si="737"/>
        <v/>
      </c>
      <c r="BR248" s="184" t="str">
        <f t="shared" si="738"/>
        <v/>
      </c>
      <c r="BS248" s="184" t="str">
        <f t="shared" si="738"/>
        <v/>
      </c>
      <c r="BT248" s="184" t="str">
        <f t="shared" si="738"/>
        <v/>
      </c>
      <c r="BU248" s="184" t="str">
        <f t="shared" si="739"/>
        <v/>
      </c>
      <c r="BV248" s="184" t="str">
        <f t="shared" si="740"/>
        <v/>
      </c>
      <c r="BW248" s="184" t="str">
        <f t="shared" si="741"/>
        <v/>
      </c>
      <c r="BX248" s="184" t="str">
        <f t="shared" si="742"/>
        <v/>
      </c>
      <c r="BY248" s="184" t="str">
        <f t="shared" si="743"/>
        <v/>
      </c>
      <c r="BZ248" s="184" t="str">
        <f t="shared" si="744"/>
        <v/>
      </c>
      <c r="CA248" s="184" t="str">
        <f t="shared" si="745"/>
        <v/>
      </c>
      <c r="CB248" s="184" t="str">
        <f t="shared" si="746"/>
        <v/>
      </c>
      <c r="CC248" s="184" t="str">
        <f t="shared" si="747"/>
        <v/>
      </c>
      <c r="CD248" s="184" t="str">
        <f t="shared" si="748"/>
        <v/>
      </c>
      <c r="CE248" s="184" t="str">
        <f t="shared" si="749"/>
        <v/>
      </c>
      <c r="CF248" s="184" t="str">
        <f t="shared" si="750"/>
        <v/>
      </c>
      <c r="CG248" s="184" t="str">
        <f t="shared" si="751"/>
        <v/>
      </c>
      <c r="CH248" s="184" t="str">
        <f t="shared" si="752"/>
        <v/>
      </c>
      <c r="CI248" s="184" t="str">
        <f t="shared" si="753"/>
        <v/>
      </c>
      <c r="CJ248" s="184" t="str">
        <f t="shared" si="754"/>
        <v/>
      </c>
      <c r="CK248" s="184"/>
      <c r="CM248" s="184"/>
      <c r="CN248"/>
      <c r="CP248"/>
      <c r="CR248"/>
      <c r="CT248"/>
      <c r="CV248"/>
      <c r="CX248"/>
      <c r="CZ248"/>
      <c r="DB248"/>
      <c r="DD248"/>
      <c r="DF248"/>
      <c r="ED248" s="184"/>
      <c r="EF248" s="184"/>
      <c r="EH248" s="184"/>
      <c r="EJ248" s="184"/>
      <c r="EL248" s="184"/>
      <c r="EN248" s="184"/>
      <c r="EP248" s="184"/>
      <c r="ER248" s="184"/>
      <c r="ET248" s="184"/>
      <c r="EV248" s="184"/>
      <c r="EX248" s="184"/>
      <c r="EZ248" s="184"/>
      <c r="FB248" s="184"/>
    </row>
    <row r="249" spans="1:158">
      <c r="A249" s="184">
        <f t="shared" si="653"/>
        <v>54.5</v>
      </c>
      <c r="B249" s="18">
        <f t="shared" si="678"/>
        <v>11425</v>
      </c>
      <c r="C249" s="18">
        <f t="shared" si="755"/>
        <v>14175.000000000255</v>
      </c>
      <c r="D249" s="18">
        <f t="shared" si="756"/>
        <v>18762.500000000036</v>
      </c>
      <c r="E249" s="18">
        <f t="shared" si="691"/>
        <v>22662.499999999818</v>
      </c>
      <c r="F249" s="18">
        <f t="shared" si="692"/>
        <v>11487.499999999909</v>
      </c>
      <c r="G249" s="18">
        <f t="shared" si="693"/>
        <v>14262.499999999745</v>
      </c>
      <c r="H249" s="18">
        <f t="shared" si="694"/>
        <v>18750</v>
      </c>
      <c r="I249" s="18">
        <f t="shared" si="695"/>
        <v>11437.500000000118</v>
      </c>
      <c r="J249" s="18">
        <f t="shared" si="696"/>
        <v>15099.999999999745</v>
      </c>
      <c r="K249" s="18">
        <f t="shared" si="697"/>
        <v>18837.500000000091</v>
      </c>
      <c r="L249" s="18">
        <f t="shared" si="698"/>
        <v>22624.999999999764</v>
      </c>
      <c r="M249" s="18">
        <f t="shared" si="699"/>
        <v>29050.000000000509</v>
      </c>
      <c r="N249" s="18">
        <f t="shared" si="700"/>
        <v>14512.5</v>
      </c>
      <c r="O249" s="18">
        <f t="shared" si="701"/>
        <v>18862.500000000036</v>
      </c>
      <c r="P249" s="18">
        <f t="shared" si="702"/>
        <v>21462.5</v>
      </c>
      <c r="Q249" s="18">
        <f t="shared" si="703"/>
        <v>25850.000000000509</v>
      </c>
      <c r="R249" s="18">
        <f t="shared" si="704"/>
        <v>38437.5</v>
      </c>
      <c r="S249" s="18">
        <f t="shared" si="705"/>
        <v>22812.5000000004</v>
      </c>
      <c r="T249" s="18">
        <f t="shared" si="706"/>
        <v>25856.249999999491</v>
      </c>
      <c r="U249" s="18">
        <f t="shared" si="707"/>
        <v>29508.049999999839</v>
      </c>
      <c r="V249" s="18">
        <f t="shared" si="708"/>
        <v>37322.999999999302</v>
      </c>
      <c r="W249" s="18">
        <f t="shared" si="709"/>
        <v>46861.099999998769</v>
      </c>
      <c r="X249" s="18">
        <f t="shared" si="710"/>
        <v>56693.250000000698</v>
      </c>
      <c r="Y249" s="18">
        <f t="shared" si="711"/>
        <v>55374.999999998981</v>
      </c>
      <c r="Z249" s="18">
        <f t="shared" si="710"/>
        <v>45719.9999999992</v>
      </c>
      <c r="AA249" s="18">
        <f t="shared" ref="AA249:AB249" si="761">AA248+(AA$234-AA$233)/2</f>
        <v>53640.000000001019</v>
      </c>
      <c r="AB249" s="18">
        <f t="shared" si="761"/>
        <v>68145</v>
      </c>
      <c r="AC249" s="18">
        <f t="shared" si="679"/>
        <v>24500</v>
      </c>
      <c r="AD249" s="18">
        <f t="shared" si="676"/>
        <v>31500</v>
      </c>
      <c r="AE249" s="18">
        <f t="shared" si="676"/>
        <v>36750</v>
      </c>
      <c r="AF249" s="18">
        <f t="shared" si="676"/>
        <v>42000</v>
      </c>
      <c r="AG249" s="18">
        <f t="shared" si="676"/>
        <v>52500</v>
      </c>
      <c r="AH249" s="18">
        <f t="shared" ref="AH249:AK249" si="762">AH248+AH$234*0.05</f>
        <v>33250</v>
      </c>
      <c r="AI249" s="18">
        <f t="shared" si="762"/>
        <v>39900</v>
      </c>
      <c r="AJ249" s="18">
        <f t="shared" si="762"/>
        <v>43750</v>
      </c>
      <c r="AK249" s="18">
        <f t="shared" si="762"/>
        <v>50750</v>
      </c>
      <c r="AL249" s="18">
        <f t="shared" si="676"/>
        <v>38500</v>
      </c>
      <c r="AM249" s="18">
        <f t="shared" si="676"/>
        <v>43750</v>
      </c>
      <c r="AN249" s="18">
        <f t="shared" si="676"/>
        <v>50050</v>
      </c>
      <c r="AO249" s="18">
        <f t="shared" si="676"/>
        <v>78750</v>
      </c>
      <c r="AP249" s="18">
        <f t="shared" si="676"/>
        <v>84000</v>
      </c>
      <c r="AQ249" s="18">
        <f t="shared" si="676"/>
        <v>94500</v>
      </c>
      <c r="AR249" s="18">
        <f t="shared" si="676"/>
        <v>257600</v>
      </c>
      <c r="AS249" s="18">
        <f t="shared" si="690"/>
        <v>3586.95652173913</v>
      </c>
      <c r="AT249" s="184" t="str">
        <f t="shared" si="714"/>
        <v/>
      </c>
      <c r="AU249" s="184" t="str">
        <f t="shared" si="715"/>
        <v/>
      </c>
      <c r="AV249" s="184" t="str">
        <f t="shared" si="716"/>
        <v/>
      </c>
      <c r="AW249" s="184" t="str">
        <f t="shared" si="717"/>
        <v/>
      </c>
      <c r="AX249" s="184" t="str">
        <f t="shared" si="718"/>
        <v/>
      </c>
      <c r="AY249" s="184" t="str">
        <f t="shared" si="719"/>
        <v/>
      </c>
      <c r="AZ249" s="184" t="str">
        <f t="shared" si="720"/>
        <v/>
      </c>
      <c r="BA249" s="184" t="str">
        <f t="shared" si="721"/>
        <v/>
      </c>
      <c r="BB249" s="184" t="str">
        <f t="shared" si="722"/>
        <v/>
      </c>
      <c r="BC249" s="184" t="str">
        <f t="shared" si="723"/>
        <v/>
      </c>
      <c r="BD249" s="184" t="str">
        <f t="shared" si="724"/>
        <v/>
      </c>
      <c r="BE249" s="184" t="str">
        <f t="shared" si="725"/>
        <v/>
      </c>
      <c r="BF249" s="184" t="str">
        <f t="shared" si="726"/>
        <v/>
      </c>
      <c r="BG249" s="184" t="str">
        <f t="shared" si="727"/>
        <v/>
      </c>
      <c r="BH249" s="184" t="str">
        <f t="shared" si="728"/>
        <v/>
      </c>
      <c r="BI249" s="184" t="str">
        <f t="shared" si="729"/>
        <v/>
      </c>
      <c r="BJ249" s="184" t="str">
        <f t="shared" si="730"/>
        <v/>
      </c>
      <c r="BK249" s="184" t="str">
        <f t="shared" si="731"/>
        <v/>
      </c>
      <c r="BL249" s="184" t="str">
        <f t="shared" si="732"/>
        <v/>
      </c>
      <c r="BM249" s="184" t="str">
        <f t="shared" si="733"/>
        <v/>
      </c>
      <c r="BN249" s="184" t="str">
        <f t="shared" si="734"/>
        <v/>
      </c>
      <c r="BO249" s="184" t="str">
        <f t="shared" si="735"/>
        <v/>
      </c>
      <c r="BP249" s="184" t="str">
        <f t="shared" si="736"/>
        <v/>
      </c>
      <c r="BQ249" s="184" t="str">
        <f t="shared" si="737"/>
        <v/>
      </c>
      <c r="BR249" s="184" t="str">
        <f t="shared" si="738"/>
        <v/>
      </c>
      <c r="BS249" s="184" t="str">
        <f t="shared" si="738"/>
        <v/>
      </c>
      <c r="BT249" s="184" t="str">
        <f t="shared" si="738"/>
        <v/>
      </c>
      <c r="BU249" s="184" t="str">
        <f t="shared" si="739"/>
        <v/>
      </c>
      <c r="BV249" s="184" t="str">
        <f t="shared" si="740"/>
        <v/>
      </c>
      <c r="BW249" s="184" t="str">
        <f t="shared" si="741"/>
        <v/>
      </c>
      <c r="BX249" s="184" t="str">
        <f t="shared" si="742"/>
        <v/>
      </c>
      <c r="BY249" s="184" t="str">
        <f t="shared" si="743"/>
        <v/>
      </c>
      <c r="BZ249" s="184" t="str">
        <f t="shared" si="744"/>
        <v/>
      </c>
      <c r="CA249" s="184" t="str">
        <f t="shared" si="745"/>
        <v/>
      </c>
      <c r="CB249" s="184" t="str">
        <f t="shared" si="746"/>
        <v/>
      </c>
      <c r="CC249" s="184" t="str">
        <f t="shared" si="747"/>
        <v/>
      </c>
      <c r="CD249" s="184" t="str">
        <f t="shared" si="748"/>
        <v/>
      </c>
      <c r="CE249" s="184" t="str">
        <f t="shared" si="749"/>
        <v/>
      </c>
      <c r="CF249" s="184" t="str">
        <f t="shared" si="750"/>
        <v/>
      </c>
      <c r="CG249" s="184" t="str">
        <f t="shared" si="751"/>
        <v/>
      </c>
      <c r="CH249" s="184" t="str">
        <f t="shared" si="752"/>
        <v/>
      </c>
      <c r="CI249" s="184" t="str">
        <f t="shared" si="753"/>
        <v/>
      </c>
      <c r="CJ249" s="184" t="str">
        <f t="shared" si="754"/>
        <v/>
      </c>
      <c r="CK249" s="184"/>
      <c r="CM249" s="184"/>
      <c r="CN249"/>
      <c r="CP249"/>
      <c r="CR249"/>
      <c r="CT249"/>
      <c r="CV249"/>
      <c r="CX249"/>
      <c r="CZ249"/>
      <c r="DB249"/>
      <c r="DD249"/>
      <c r="DF249"/>
      <c r="ED249" s="184"/>
      <c r="EF249" s="184"/>
      <c r="EH249" s="184"/>
      <c r="EJ249" s="184"/>
      <c r="EL249" s="184"/>
      <c r="EN249" s="184"/>
      <c r="EP249" s="184"/>
      <c r="ER249" s="184"/>
      <c r="ET249" s="184"/>
      <c r="EV249" s="184"/>
      <c r="EX249" s="184"/>
      <c r="EZ249" s="184"/>
      <c r="FB249" s="184"/>
    </row>
    <row r="250" spans="1:158">
      <c r="A250" s="184">
        <f t="shared" si="653"/>
        <v>55</v>
      </c>
      <c r="B250" s="18">
        <f t="shared" si="678"/>
        <v>11460</v>
      </c>
      <c r="C250" s="18">
        <f t="shared" si="755"/>
        <v>14213.333333333605</v>
      </c>
      <c r="D250" s="18">
        <f t="shared" si="756"/>
        <v>18813.333333333372</v>
      </c>
      <c r="E250" s="18">
        <f t="shared" si="691"/>
        <v>22733.333333333139</v>
      </c>
      <c r="F250" s="18">
        <f t="shared" si="692"/>
        <v>11526.66666666657</v>
      </c>
      <c r="G250" s="18">
        <f t="shared" si="693"/>
        <v>14306.666666666395</v>
      </c>
      <c r="H250" s="18">
        <f t="shared" si="694"/>
        <v>18800</v>
      </c>
      <c r="I250" s="18">
        <f t="shared" si="695"/>
        <v>11473.333333333459</v>
      </c>
      <c r="J250" s="18">
        <f t="shared" si="696"/>
        <v>15146.666666666395</v>
      </c>
      <c r="K250" s="18">
        <f t="shared" si="697"/>
        <v>18893.33333333343</v>
      </c>
      <c r="L250" s="18">
        <f t="shared" si="698"/>
        <v>22693.333333333081</v>
      </c>
      <c r="M250" s="18">
        <f t="shared" si="699"/>
        <v>29146.66666666721</v>
      </c>
      <c r="N250" s="18">
        <f t="shared" si="700"/>
        <v>14540</v>
      </c>
      <c r="O250" s="18">
        <f t="shared" si="701"/>
        <v>18913.333333333372</v>
      </c>
      <c r="P250" s="18">
        <f t="shared" si="702"/>
        <v>21500</v>
      </c>
      <c r="Q250" s="18">
        <f t="shared" si="703"/>
        <v>25906.66666666721</v>
      </c>
      <c r="R250" s="18">
        <f t="shared" si="704"/>
        <v>38540</v>
      </c>
      <c r="S250" s="18">
        <f t="shared" si="705"/>
        <v>22866.666666667094</v>
      </c>
      <c r="T250" s="18">
        <f t="shared" si="706"/>
        <v>25913.33333333279</v>
      </c>
      <c r="U250" s="18">
        <f t="shared" si="707"/>
        <v>29568.586666666495</v>
      </c>
      <c r="V250" s="18">
        <f t="shared" si="708"/>
        <v>37411.199999999255</v>
      </c>
      <c r="W250" s="18">
        <f t="shared" si="709"/>
        <v>46971.839999998687</v>
      </c>
      <c r="X250" s="18">
        <f t="shared" si="710"/>
        <v>56872.800000000745</v>
      </c>
      <c r="Y250" s="18">
        <f t="shared" si="711"/>
        <v>55466.66666666558</v>
      </c>
      <c r="Z250" s="18">
        <f t="shared" si="710"/>
        <v>45834.666666665813</v>
      </c>
      <c r="AA250" s="18">
        <f t="shared" ref="AA250:AB250" si="763">AA249+(AA$234-AA$233)/2</f>
        <v>53749.33333333442</v>
      </c>
      <c r="AB250" s="18">
        <f t="shared" si="763"/>
        <v>68288</v>
      </c>
      <c r="AC250" s="18">
        <f t="shared" si="679"/>
        <v>25200</v>
      </c>
      <c r="AD250" s="18">
        <f t="shared" si="676"/>
        <v>32400</v>
      </c>
      <c r="AE250" s="18">
        <f t="shared" si="676"/>
        <v>37800</v>
      </c>
      <c r="AF250" s="18">
        <f t="shared" si="676"/>
        <v>43200</v>
      </c>
      <c r="AG250" s="18">
        <f t="shared" si="676"/>
        <v>54000</v>
      </c>
      <c r="AH250" s="18">
        <f t="shared" ref="AH250:AK250" si="764">AH249+AH$234*0.05</f>
        <v>34200</v>
      </c>
      <c r="AI250" s="18">
        <f t="shared" si="764"/>
        <v>41040</v>
      </c>
      <c r="AJ250" s="18">
        <f t="shared" si="764"/>
        <v>45000</v>
      </c>
      <c r="AK250" s="18">
        <f t="shared" si="764"/>
        <v>52200</v>
      </c>
      <c r="AL250" s="18">
        <f t="shared" si="676"/>
        <v>39600</v>
      </c>
      <c r="AM250" s="18">
        <f t="shared" si="676"/>
        <v>45000</v>
      </c>
      <c r="AN250" s="18">
        <f t="shared" si="676"/>
        <v>51480</v>
      </c>
      <c r="AO250" s="18">
        <f t="shared" si="676"/>
        <v>81000</v>
      </c>
      <c r="AP250" s="18">
        <f t="shared" si="676"/>
        <v>86400</v>
      </c>
      <c r="AQ250" s="18">
        <f t="shared" si="676"/>
        <v>97200</v>
      </c>
      <c r="AR250" s="18">
        <f t="shared" si="676"/>
        <v>264960</v>
      </c>
      <c r="AS250" s="18">
        <f t="shared" si="690"/>
        <v>3260.8695652173915</v>
      </c>
      <c r="AT250" s="184" t="str">
        <f t="shared" si="714"/>
        <v/>
      </c>
      <c r="AU250" s="184" t="str">
        <f t="shared" si="715"/>
        <v/>
      </c>
      <c r="AV250" s="184" t="str">
        <f t="shared" si="716"/>
        <v/>
      </c>
      <c r="AW250" s="184" t="str">
        <f t="shared" si="717"/>
        <v/>
      </c>
      <c r="AX250" s="184" t="str">
        <f t="shared" si="718"/>
        <v/>
      </c>
      <c r="AY250" s="184" t="str">
        <f t="shared" si="719"/>
        <v/>
      </c>
      <c r="AZ250" s="184" t="str">
        <f t="shared" si="720"/>
        <v/>
      </c>
      <c r="BA250" s="184" t="str">
        <f t="shared" si="721"/>
        <v/>
      </c>
      <c r="BB250" s="184" t="str">
        <f t="shared" si="722"/>
        <v/>
      </c>
      <c r="BC250" s="184" t="str">
        <f t="shared" si="723"/>
        <v/>
      </c>
      <c r="BD250" s="184" t="str">
        <f t="shared" si="724"/>
        <v/>
      </c>
      <c r="BE250" s="184" t="str">
        <f t="shared" si="725"/>
        <v/>
      </c>
      <c r="BF250" s="184" t="str">
        <f t="shared" si="726"/>
        <v/>
      </c>
      <c r="BG250" s="184" t="str">
        <f t="shared" si="727"/>
        <v/>
      </c>
      <c r="BH250" s="184" t="str">
        <f t="shared" si="728"/>
        <v/>
      </c>
      <c r="BI250" s="184" t="str">
        <f t="shared" si="729"/>
        <v/>
      </c>
      <c r="BJ250" s="184" t="str">
        <f t="shared" si="730"/>
        <v/>
      </c>
      <c r="BK250" s="184" t="str">
        <f t="shared" si="731"/>
        <v/>
      </c>
      <c r="BL250" s="184" t="str">
        <f t="shared" si="732"/>
        <v/>
      </c>
      <c r="BM250" s="184" t="str">
        <f t="shared" si="733"/>
        <v/>
      </c>
      <c r="BN250" s="184" t="str">
        <f t="shared" si="734"/>
        <v/>
      </c>
      <c r="BO250" s="184" t="str">
        <f t="shared" si="735"/>
        <v/>
      </c>
      <c r="BP250" s="184" t="str">
        <f t="shared" si="736"/>
        <v/>
      </c>
      <c r="BQ250" s="184" t="str">
        <f t="shared" si="737"/>
        <v/>
      </c>
      <c r="BR250" s="184" t="str">
        <f t="shared" si="738"/>
        <v/>
      </c>
      <c r="BS250" s="184" t="str">
        <f t="shared" si="738"/>
        <v/>
      </c>
      <c r="BT250" s="184" t="str">
        <f t="shared" si="738"/>
        <v/>
      </c>
      <c r="BU250" s="184" t="str">
        <f t="shared" si="739"/>
        <v/>
      </c>
      <c r="BV250" s="184" t="str">
        <f t="shared" si="740"/>
        <v/>
      </c>
      <c r="BW250" s="184" t="str">
        <f t="shared" si="741"/>
        <v/>
      </c>
      <c r="BX250" s="184" t="str">
        <f t="shared" si="742"/>
        <v/>
      </c>
      <c r="BY250" s="184" t="str">
        <f t="shared" si="743"/>
        <v/>
      </c>
      <c r="BZ250" s="184" t="str">
        <f t="shared" si="744"/>
        <v/>
      </c>
      <c r="CA250" s="184" t="str">
        <f t="shared" si="745"/>
        <v/>
      </c>
      <c r="CB250" s="184" t="str">
        <f t="shared" si="746"/>
        <v/>
      </c>
      <c r="CC250" s="184" t="str">
        <f t="shared" si="747"/>
        <v/>
      </c>
      <c r="CD250" s="184" t="str">
        <f t="shared" si="748"/>
        <v/>
      </c>
      <c r="CE250" s="184" t="str">
        <f t="shared" si="749"/>
        <v/>
      </c>
      <c r="CF250" s="184" t="str">
        <f t="shared" si="750"/>
        <v/>
      </c>
      <c r="CG250" s="184" t="str">
        <f t="shared" si="751"/>
        <v/>
      </c>
      <c r="CH250" s="184" t="str">
        <f t="shared" si="752"/>
        <v/>
      </c>
      <c r="CI250" s="184" t="str">
        <f t="shared" si="753"/>
        <v/>
      </c>
      <c r="CJ250" s="184" t="str">
        <f t="shared" si="754"/>
        <v/>
      </c>
      <c r="CK250" s="184"/>
      <c r="CM250" s="184"/>
      <c r="CN250"/>
      <c r="CP250"/>
      <c r="CR250"/>
      <c r="CT250"/>
      <c r="CV250"/>
      <c r="CX250"/>
      <c r="CZ250"/>
      <c r="DB250"/>
      <c r="DD250"/>
      <c r="DF250"/>
      <c r="ED250" s="184"/>
      <c r="EF250" s="184"/>
      <c r="EH250" s="184"/>
      <c r="EJ250" s="184"/>
      <c r="EL250" s="184"/>
      <c r="EN250" s="184"/>
      <c r="EP250" s="184"/>
      <c r="ER250" s="184"/>
      <c r="ET250" s="184"/>
      <c r="EV250" s="184"/>
      <c r="EX250" s="184"/>
      <c r="EZ250" s="184"/>
      <c r="FB250" s="184"/>
    </row>
    <row r="251" spans="1:158">
      <c r="A251" s="184">
        <f t="shared" si="653"/>
        <v>55.5</v>
      </c>
      <c r="B251" s="18">
        <f t="shared" si="678"/>
        <v>11495</v>
      </c>
      <c r="C251" s="18">
        <f t="shared" si="755"/>
        <v>14251.666666666955</v>
      </c>
      <c r="D251" s="18">
        <f t="shared" si="756"/>
        <v>18864.166666666708</v>
      </c>
      <c r="E251" s="18">
        <f t="shared" si="691"/>
        <v>22804.166666666461</v>
      </c>
      <c r="F251" s="18">
        <f t="shared" si="692"/>
        <v>11565.83333333323</v>
      </c>
      <c r="G251" s="18">
        <f t="shared" si="693"/>
        <v>14350.833333333045</v>
      </c>
      <c r="H251" s="18">
        <f t="shared" si="694"/>
        <v>18850</v>
      </c>
      <c r="I251" s="18">
        <f t="shared" si="695"/>
        <v>11509.166666666801</v>
      </c>
      <c r="J251" s="18">
        <f t="shared" si="696"/>
        <v>15193.333333333045</v>
      </c>
      <c r="K251" s="18">
        <f t="shared" si="697"/>
        <v>18949.16666666677</v>
      </c>
      <c r="L251" s="18">
        <f t="shared" si="698"/>
        <v>22761.666666666399</v>
      </c>
      <c r="M251" s="18">
        <f t="shared" si="699"/>
        <v>29243.333333333911</v>
      </c>
      <c r="N251" s="18">
        <f t="shared" si="700"/>
        <v>14567.5</v>
      </c>
      <c r="O251" s="18">
        <f t="shared" si="701"/>
        <v>18964.166666666708</v>
      </c>
      <c r="P251" s="18">
        <f t="shared" si="702"/>
        <v>21537.5</v>
      </c>
      <c r="Q251" s="18">
        <f t="shared" si="703"/>
        <v>25963.333333333911</v>
      </c>
      <c r="R251" s="18">
        <f t="shared" si="704"/>
        <v>38642.5</v>
      </c>
      <c r="S251" s="18">
        <f t="shared" si="705"/>
        <v>22920.833333333787</v>
      </c>
      <c r="T251" s="18">
        <f t="shared" si="706"/>
        <v>25970.416666666089</v>
      </c>
      <c r="U251" s="18">
        <f t="shared" si="707"/>
        <v>29629.123333333151</v>
      </c>
      <c r="V251" s="18">
        <f t="shared" si="708"/>
        <v>37499.399999999208</v>
      </c>
      <c r="W251" s="18">
        <f t="shared" si="709"/>
        <v>47082.579999998605</v>
      </c>
      <c r="X251" s="18">
        <f t="shared" si="710"/>
        <v>57052.350000000792</v>
      </c>
      <c r="Y251" s="18">
        <f t="shared" si="711"/>
        <v>55558.333333332179</v>
      </c>
      <c r="Z251" s="18">
        <f t="shared" si="710"/>
        <v>45949.333333332426</v>
      </c>
      <c r="AA251" s="18">
        <f t="shared" ref="AA251:AB251" si="765">AA250+(AA$234-AA$233)/2</f>
        <v>53858.666666667821</v>
      </c>
      <c r="AB251" s="18">
        <f t="shared" si="765"/>
        <v>68431</v>
      </c>
      <c r="AC251" s="18">
        <f t="shared" si="679"/>
        <v>25900</v>
      </c>
      <c r="AD251" s="18">
        <f t="shared" ref="AD251:AD282" si="766">AD250+AD$234*0.05</f>
        <v>33300</v>
      </c>
      <c r="AE251" s="18">
        <f t="shared" ref="AE251:AE282" si="767">AE250+AE$234*0.05</f>
        <v>38850</v>
      </c>
      <c r="AF251" s="18">
        <f t="shared" ref="AF251:AF282" si="768">AF250+AF$234*0.05</f>
        <v>44400</v>
      </c>
      <c r="AG251" s="18">
        <f t="shared" ref="AG251:AK282" si="769">AG250+AG$234*0.05</f>
        <v>55500</v>
      </c>
      <c r="AH251" s="18">
        <f t="shared" si="769"/>
        <v>35150</v>
      </c>
      <c r="AI251" s="18">
        <f t="shared" si="769"/>
        <v>42180</v>
      </c>
      <c r="AJ251" s="18">
        <f t="shared" si="769"/>
        <v>46250</v>
      </c>
      <c r="AK251" s="18">
        <f t="shared" si="769"/>
        <v>53650</v>
      </c>
      <c r="AL251" s="18">
        <f t="shared" ref="AL251:AL282" si="770">AL250+AL$234*0.05</f>
        <v>40700</v>
      </c>
      <c r="AM251" s="18">
        <f t="shared" ref="AM251:AM282" si="771">AM250+AM$234*0.05</f>
        <v>46250</v>
      </c>
      <c r="AN251" s="18">
        <f t="shared" ref="AN251:AN282" si="772">AN250+AN$234*0.05</f>
        <v>52910</v>
      </c>
      <c r="AO251" s="18">
        <f t="shared" ref="AO251:AO282" si="773">AO250+AO$234*0.05</f>
        <v>83250</v>
      </c>
      <c r="AP251" s="18">
        <f t="shared" ref="AP251:AP282" si="774">AP250+AP$234*0.05</f>
        <v>88800</v>
      </c>
      <c r="AQ251" s="18">
        <f t="shared" ref="AQ251:AQ282" si="775">AQ250+AQ$234*0.05</f>
        <v>99900</v>
      </c>
      <c r="AR251" s="18">
        <f t="shared" ref="AR251:AR282" si="776">AR250+AR$234*0.05</f>
        <v>272320</v>
      </c>
      <c r="AS251" s="18">
        <f t="shared" si="690"/>
        <v>2934.782608695652</v>
      </c>
      <c r="AT251" s="184" t="str">
        <f t="shared" si="714"/>
        <v/>
      </c>
      <c r="AU251" s="184" t="str">
        <f t="shared" si="715"/>
        <v/>
      </c>
      <c r="AV251" s="184" t="str">
        <f t="shared" si="716"/>
        <v/>
      </c>
      <c r="AW251" s="184" t="str">
        <f t="shared" si="717"/>
        <v/>
      </c>
      <c r="AX251" s="184" t="str">
        <f t="shared" si="718"/>
        <v/>
      </c>
      <c r="AY251" s="184" t="str">
        <f t="shared" si="719"/>
        <v/>
      </c>
      <c r="AZ251" s="184" t="str">
        <f t="shared" si="720"/>
        <v/>
      </c>
      <c r="BA251" s="184" t="str">
        <f t="shared" si="721"/>
        <v/>
      </c>
      <c r="BB251" s="184" t="str">
        <f t="shared" si="722"/>
        <v/>
      </c>
      <c r="BC251" s="184" t="str">
        <f t="shared" si="723"/>
        <v/>
      </c>
      <c r="BD251" s="184" t="str">
        <f t="shared" si="724"/>
        <v/>
      </c>
      <c r="BE251" s="184" t="str">
        <f t="shared" si="725"/>
        <v/>
      </c>
      <c r="BF251" s="184" t="str">
        <f t="shared" si="726"/>
        <v/>
      </c>
      <c r="BG251" s="184" t="str">
        <f t="shared" si="727"/>
        <v/>
      </c>
      <c r="BH251" s="184" t="str">
        <f t="shared" si="728"/>
        <v/>
      </c>
      <c r="BI251" s="184" t="str">
        <f t="shared" si="729"/>
        <v/>
      </c>
      <c r="BJ251" s="184" t="str">
        <f t="shared" si="730"/>
        <v/>
      </c>
      <c r="BK251" s="184" t="str">
        <f t="shared" si="731"/>
        <v/>
      </c>
      <c r="BL251" s="184" t="str">
        <f t="shared" si="732"/>
        <v/>
      </c>
      <c r="BM251" s="184" t="str">
        <f t="shared" si="733"/>
        <v/>
      </c>
      <c r="BN251" s="184" t="str">
        <f t="shared" si="734"/>
        <v/>
      </c>
      <c r="BO251" s="184" t="str">
        <f t="shared" si="735"/>
        <v/>
      </c>
      <c r="BP251" s="184" t="str">
        <f t="shared" si="736"/>
        <v/>
      </c>
      <c r="BQ251" s="184" t="str">
        <f t="shared" si="737"/>
        <v/>
      </c>
      <c r="BR251" s="184" t="str">
        <f t="shared" si="738"/>
        <v/>
      </c>
      <c r="BS251" s="184" t="str">
        <f t="shared" si="738"/>
        <v/>
      </c>
      <c r="BT251" s="184" t="str">
        <f t="shared" si="738"/>
        <v/>
      </c>
      <c r="BU251" s="184" t="str">
        <f t="shared" si="739"/>
        <v/>
      </c>
      <c r="BV251" s="184" t="str">
        <f t="shared" si="740"/>
        <v/>
      </c>
      <c r="BW251" s="184" t="str">
        <f t="shared" si="741"/>
        <v/>
      </c>
      <c r="BX251" s="184" t="str">
        <f t="shared" si="742"/>
        <v/>
      </c>
      <c r="BY251" s="184" t="str">
        <f t="shared" si="743"/>
        <v/>
      </c>
      <c r="BZ251" s="184" t="str">
        <f t="shared" si="744"/>
        <v/>
      </c>
      <c r="CA251" s="184" t="str">
        <f t="shared" si="745"/>
        <v/>
      </c>
      <c r="CB251" s="184" t="str">
        <f t="shared" si="746"/>
        <v/>
      </c>
      <c r="CC251" s="184" t="str">
        <f t="shared" si="747"/>
        <v/>
      </c>
      <c r="CD251" s="184" t="str">
        <f t="shared" si="748"/>
        <v/>
      </c>
      <c r="CE251" s="184" t="str">
        <f t="shared" si="749"/>
        <v/>
      </c>
      <c r="CF251" s="184" t="str">
        <f t="shared" si="750"/>
        <v/>
      </c>
      <c r="CG251" s="184" t="str">
        <f t="shared" si="751"/>
        <v/>
      </c>
      <c r="CH251" s="184" t="str">
        <f t="shared" si="752"/>
        <v/>
      </c>
      <c r="CI251" s="184" t="str">
        <f t="shared" si="753"/>
        <v/>
      </c>
      <c r="CJ251" s="184" t="str">
        <f t="shared" si="754"/>
        <v/>
      </c>
      <c r="CK251" s="184"/>
      <c r="CM251" s="184"/>
      <c r="CN251"/>
      <c r="CP251"/>
      <c r="CR251"/>
      <c r="CT251"/>
      <c r="CV251"/>
      <c r="CX251"/>
      <c r="CZ251"/>
      <c r="DB251"/>
      <c r="DD251"/>
      <c r="DF251"/>
      <c r="ED251" s="184"/>
      <c r="EF251" s="184"/>
      <c r="EH251" s="184"/>
      <c r="EJ251" s="184"/>
      <c r="EL251" s="184"/>
      <c r="EN251" s="184"/>
      <c r="EP251" s="184"/>
      <c r="ER251" s="184"/>
      <c r="ET251" s="184"/>
      <c r="EV251" s="184"/>
      <c r="EX251" s="184"/>
      <c r="EZ251" s="184"/>
      <c r="FB251" s="184"/>
    </row>
    <row r="252" spans="1:158">
      <c r="A252" s="184">
        <f t="shared" si="653"/>
        <v>56</v>
      </c>
      <c r="B252" s="18">
        <f t="shared" si="678"/>
        <v>11530</v>
      </c>
      <c r="C252" s="18">
        <f t="shared" si="755"/>
        <v>14290.000000000306</v>
      </c>
      <c r="D252" s="18">
        <f t="shared" si="756"/>
        <v>18915.000000000044</v>
      </c>
      <c r="E252" s="18">
        <f t="shared" si="691"/>
        <v>22874.999999999782</v>
      </c>
      <c r="F252" s="18">
        <f t="shared" si="692"/>
        <v>11604.999999999891</v>
      </c>
      <c r="G252" s="18">
        <f t="shared" si="693"/>
        <v>14394.999999999694</v>
      </c>
      <c r="H252" s="18">
        <f t="shared" si="694"/>
        <v>18900</v>
      </c>
      <c r="I252" s="18">
        <f t="shared" si="695"/>
        <v>11545.000000000142</v>
      </c>
      <c r="J252" s="18">
        <f t="shared" si="696"/>
        <v>15239.999999999694</v>
      </c>
      <c r="K252" s="18">
        <f t="shared" si="697"/>
        <v>19005.000000000109</v>
      </c>
      <c r="L252" s="18">
        <f t="shared" si="698"/>
        <v>22829.999999999716</v>
      </c>
      <c r="M252" s="18">
        <f t="shared" si="699"/>
        <v>29340.000000000611</v>
      </c>
      <c r="N252" s="18">
        <f t="shared" si="700"/>
        <v>14595</v>
      </c>
      <c r="O252" s="18">
        <f t="shared" si="701"/>
        <v>19015.000000000044</v>
      </c>
      <c r="P252" s="18">
        <f t="shared" si="702"/>
        <v>21575</v>
      </c>
      <c r="Q252" s="18">
        <f t="shared" si="703"/>
        <v>26020.000000000611</v>
      </c>
      <c r="R252" s="18">
        <f t="shared" si="704"/>
        <v>38745</v>
      </c>
      <c r="S252" s="18">
        <f t="shared" si="705"/>
        <v>22975.00000000048</v>
      </c>
      <c r="T252" s="18">
        <f t="shared" si="706"/>
        <v>26027.499999999389</v>
      </c>
      <c r="U252" s="18">
        <f t="shared" si="707"/>
        <v>29689.659999999807</v>
      </c>
      <c r="V252" s="18">
        <f t="shared" si="708"/>
        <v>37587.599999999162</v>
      </c>
      <c r="W252" s="18">
        <f t="shared" si="709"/>
        <v>47193.319999998523</v>
      </c>
      <c r="X252" s="18">
        <f t="shared" si="710"/>
        <v>57231.900000000838</v>
      </c>
      <c r="Y252" s="18">
        <f t="shared" si="711"/>
        <v>55649.999999998778</v>
      </c>
      <c r="Z252" s="18">
        <f t="shared" si="710"/>
        <v>46063.99999999904</v>
      </c>
      <c r="AA252" s="18">
        <f t="shared" ref="AA252:AB252" si="777">AA251+(AA$234-AA$233)/2</f>
        <v>53968.000000001222</v>
      </c>
      <c r="AB252" s="18">
        <f t="shared" si="777"/>
        <v>68574</v>
      </c>
      <c r="AC252" s="18">
        <f t="shared" si="679"/>
        <v>26600</v>
      </c>
      <c r="AD252" s="18">
        <f t="shared" si="766"/>
        <v>34200</v>
      </c>
      <c r="AE252" s="18">
        <f t="shared" si="767"/>
        <v>39900</v>
      </c>
      <c r="AF252" s="18">
        <f t="shared" si="768"/>
        <v>45600</v>
      </c>
      <c r="AG252" s="18">
        <f t="shared" si="769"/>
        <v>57000</v>
      </c>
      <c r="AH252" s="18">
        <f t="shared" si="769"/>
        <v>36100</v>
      </c>
      <c r="AI252" s="18">
        <f t="shared" si="769"/>
        <v>43320</v>
      </c>
      <c r="AJ252" s="18">
        <f t="shared" si="769"/>
        <v>47500</v>
      </c>
      <c r="AK252" s="18">
        <f t="shared" si="769"/>
        <v>55100</v>
      </c>
      <c r="AL252" s="18">
        <f t="shared" si="770"/>
        <v>41800</v>
      </c>
      <c r="AM252" s="18">
        <f t="shared" si="771"/>
        <v>47500</v>
      </c>
      <c r="AN252" s="18">
        <f t="shared" si="772"/>
        <v>54340</v>
      </c>
      <c r="AO252" s="18">
        <f t="shared" si="773"/>
        <v>85500</v>
      </c>
      <c r="AP252" s="18">
        <f t="shared" si="774"/>
        <v>91200</v>
      </c>
      <c r="AQ252" s="18">
        <f t="shared" si="775"/>
        <v>102600</v>
      </c>
      <c r="AR252" s="18">
        <f t="shared" si="776"/>
        <v>279680</v>
      </c>
      <c r="AS252" s="18">
        <f t="shared" si="690"/>
        <v>2608.695652173913</v>
      </c>
      <c r="AT252" s="184" t="str">
        <f t="shared" si="714"/>
        <v/>
      </c>
      <c r="AU252" s="184" t="str">
        <f t="shared" si="715"/>
        <v/>
      </c>
      <c r="AV252" s="184" t="str">
        <f t="shared" si="716"/>
        <v/>
      </c>
      <c r="AW252" s="184" t="str">
        <f t="shared" si="717"/>
        <v/>
      </c>
      <c r="AX252" s="184" t="str">
        <f t="shared" si="718"/>
        <v/>
      </c>
      <c r="AY252" s="184" t="str">
        <f t="shared" si="719"/>
        <v/>
      </c>
      <c r="AZ252" s="184" t="str">
        <f t="shared" si="720"/>
        <v/>
      </c>
      <c r="BA252" s="184" t="str">
        <f t="shared" si="721"/>
        <v/>
      </c>
      <c r="BB252" s="184" t="str">
        <f t="shared" si="722"/>
        <v/>
      </c>
      <c r="BC252" s="184" t="str">
        <f t="shared" si="723"/>
        <v/>
      </c>
      <c r="BD252" s="184" t="str">
        <f t="shared" si="724"/>
        <v/>
      </c>
      <c r="BE252" s="184" t="str">
        <f t="shared" si="725"/>
        <v/>
      </c>
      <c r="BF252" s="184" t="str">
        <f t="shared" si="726"/>
        <v/>
      </c>
      <c r="BG252" s="184" t="str">
        <f t="shared" si="727"/>
        <v/>
      </c>
      <c r="BH252" s="184" t="str">
        <f t="shared" si="728"/>
        <v/>
      </c>
      <c r="BI252" s="184" t="str">
        <f t="shared" si="729"/>
        <v/>
      </c>
      <c r="BJ252" s="184" t="str">
        <f t="shared" si="730"/>
        <v/>
      </c>
      <c r="BK252" s="184" t="str">
        <f t="shared" si="731"/>
        <v/>
      </c>
      <c r="BL252" s="184" t="str">
        <f t="shared" si="732"/>
        <v/>
      </c>
      <c r="BM252" s="184" t="str">
        <f t="shared" si="733"/>
        <v/>
      </c>
      <c r="BN252" s="184" t="str">
        <f t="shared" si="734"/>
        <v/>
      </c>
      <c r="BO252" s="184" t="str">
        <f t="shared" si="735"/>
        <v/>
      </c>
      <c r="BP252" s="184" t="str">
        <f t="shared" si="736"/>
        <v/>
      </c>
      <c r="BQ252" s="184" t="str">
        <f t="shared" si="737"/>
        <v/>
      </c>
      <c r="BR252" s="184" t="str">
        <f t="shared" si="738"/>
        <v/>
      </c>
      <c r="BS252" s="184" t="str">
        <f t="shared" si="738"/>
        <v/>
      </c>
      <c r="BT252" s="184" t="str">
        <f t="shared" si="738"/>
        <v/>
      </c>
      <c r="BU252" s="184" t="str">
        <f t="shared" si="739"/>
        <v/>
      </c>
      <c r="BV252" s="184" t="str">
        <f t="shared" si="740"/>
        <v/>
      </c>
      <c r="BW252" s="184" t="str">
        <f t="shared" si="741"/>
        <v/>
      </c>
      <c r="BX252" s="184" t="str">
        <f t="shared" si="742"/>
        <v/>
      </c>
      <c r="BY252" s="184" t="str">
        <f t="shared" si="743"/>
        <v/>
      </c>
      <c r="BZ252" s="184" t="str">
        <f t="shared" si="744"/>
        <v/>
      </c>
      <c r="CA252" s="184" t="str">
        <f t="shared" si="745"/>
        <v/>
      </c>
      <c r="CB252" s="184" t="str">
        <f t="shared" si="746"/>
        <v/>
      </c>
      <c r="CC252" s="184" t="str">
        <f t="shared" si="747"/>
        <v/>
      </c>
      <c r="CD252" s="184" t="str">
        <f t="shared" si="748"/>
        <v/>
      </c>
      <c r="CE252" s="184" t="str">
        <f t="shared" si="749"/>
        <v/>
      </c>
      <c r="CF252" s="184" t="str">
        <f t="shared" si="750"/>
        <v/>
      </c>
      <c r="CG252" s="184" t="str">
        <f t="shared" si="751"/>
        <v/>
      </c>
      <c r="CH252" s="184" t="str">
        <f t="shared" si="752"/>
        <v/>
      </c>
      <c r="CI252" s="184" t="str">
        <f t="shared" si="753"/>
        <v/>
      </c>
      <c r="CJ252" s="184" t="str">
        <f t="shared" si="754"/>
        <v/>
      </c>
      <c r="CK252" s="184"/>
      <c r="CM252" s="184"/>
      <c r="CN252"/>
      <c r="CP252"/>
      <c r="CR252"/>
      <c r="CT252"/>
      <c r="CV252"/>
      <c r="CX252"/>
      <c r="CZ252"/>
      <c r="DB252"/>
      <c r="DD252"/>
      <c r="DF252"/>
      <c r="ED252" s="184"/>
      <c r="EF252" s="184"/>
      <c r="EH252" s="184"/>
      <c r="EJ252" s="184"/>
      <c r="EL252" s="184"/>
      <c r="EN252" s="184"/>
      <c r="EP252" s="184"/>
      <c r="ER252" s="184"/>
      <c r="ET252" s="184"/>
      <c r="EV252" s="184"/>
      <c r="EX252" s="184"/>
      <c r="EZ252" s="184"/>
      <c r="FB252" s="184"/>
    </row>
    <row r="253" spans="1:158">
      <c r="A253" s="184">
        <f t="shared" si="653"/>
        <v>56.5</v>
      </c>
      <c r="B253" s="18">
        <f t="shared" si="678"/>
        <v>11565</v>
      </c>
      <c r="C253" s="18">
        <f t="shared" si="755"/>
        <v>14328.333333333656</v>
      </c>
      <c r="D253" s="18">
        <f t="shared" si="756"/>
        <v>18965.833333333379</v>
      </c>
      <c r="E253" s="18">
        <f t="shared" si="691"/>
        <v>22945.833333333103</v>
      </c>
      <c r="F253" s="18">
        <f t="shared" si="692"/>
        <v>11644.166666666551</v>
      </c>
      <c r="G253" s="18">
        <f t="shared" si="693"/>
        <v>14439.166666666344</v>
      </c>
      <c r="H253" s="18">
        <f t="shared" si="694"/>
        <v>18950</v>
      </c>
      <c r="I253" s="18">
        <f t="shared" si="695"/>
        <v>11580.833333333483</v>
      </c>
      <c r="J253" s="18">
        <f t="shared" si="696"/>
        <v>15286.666666666344</v>
      </c>
      <c r="K253" s="18">
        <f t="shared" si="697"/>
        <v>19060.833333333449</v>
      </c>
      <c r="L253" s="18">
        <f t="shared" si="698"/>
        <v>22898.333333333034</v>
      </c>
      <c r="M253" s="18">
        <f t="shared" si="699"/>
        <v>29436.666666667312</v>
      </c>
      <c r="N253" s="18">
        <f t="shared" si="700"/>
        <v>14622.5</v>
      </c>
      <c r="O253" s="18">
        <f t="shared" si="701"/>
        <v>19065.833333333379</v>
      </c>
      <c r="P253" s="18">
        <f t="shared" si="702"/>
        <v>21612.5</v>
      </c>
      <c r="Q253" s="18">
        <f t="shared" si="703"/>
        <v>26076.666666667312</v>
      </c>
      <c r="R253" s="18">
        <f t="shared" si="704"/>
        <v>38847.5</v>
      </c>
      <c r="S253" s="18">
        <f t="shared" si="705"/>
        <v>23029.166666667174</v>
      </c>
      <c r="T253" s="18">
        <f t="shared" si="706"/>
        <v>26084.583333332688</v>
      </c>
      <c r="U253" s="18">
        <f t="shared" si="707"/>
        <v>29750.196666666463</v>
      </c>
      <c r="V253" s="18">
        <f t="shared" si="708"/>
        <v>37675.799999999115</v>
      </c>
      <c r="W253" s="18">
        <f t="shared" si="709"/>
        <v>47304.059999998441</v>
      </c>
      <c r="X253" s="18">
        <f t="shared" si="710"/>
        <v>57411.450000000885</v>
      </c>
      <c r="Y253" s="18">
        <f t="shared" si="711"/>
        <v>55741.666666665376</v>
      </c>
      <c r="Z253" s="18">
        <f t="shared" si="710"/>
        <v>46178.666666665653</v>
      </c>
      <c r="AA253" s="18">
        <f t="shared" ref="AA253:AB253" si="778">AA252+(AA$234-AA$233)/2</f>
        <v>54077.333333334624</v>
      </c>
      <c r="AB253" s="18">
        <f t="shared" si="778"/>
        <v>68717</v>
      </c>
      <c r="AC253" s="18">
        <f t="shared" si="679"/>
        <v>27300</v>
      </c>
      <c r="AD253" s="18">
        <f t="shared" si="766"/>
        <v>35100</v>
      </c>
      <c r="AE253" s="18">
        <f t="shared" si="767"/>
        <v>40950</v>
      </c>
      <c r="AF253" s="18">
        <f t="shared" si="768"/>
        <v>46800</v>
      </c>
      <c r="AG253" s="18">
        <f t="shared" si="769"/>
        <v>58500</v>
      </c>
      <c r="AH253" s="18">
        <f t="shared" si="769"/>
        <v>37050</v>
      </c>
      <c r="AI253" s="18">
        <f t="shared" si="769"/>
        <v>44460</v>
      </c>
      <c r="AJ253" s="18">
        <f t="shared" si="769"/>
        <v>48750</v>
      </c>
      <c r="AK253" s="18">
        <f t="shared" si="769"/>
        <v>56550</v>
      </c>
      <c r="AL253" s="18">
        <f t="shared" si="770"/>
        <v>42900</v>
      </c>
      <c r="AM253" s="18">
        <f t="shared" si="771"/>
        <v>48750</v>
      </c>
      <c r="AN253" s="18">
        <f t="shared" si="772"/>
        <v>55770</v>
      </c>
      <c r="AO253" s="18">
        <f t="shared" si="773"/>
        <v>87750</v>
      </c>
      <c r="AP253" s="18">
        <f t="shared" si="774"/>
        <v>93600</v>
      </c>
      <c r="AQ253" s="18">
        <f t="shared" si="775"/>
        <v>105300</v>
      </c>
      <c r="AR253" s="18">
        <f t="shared" si="776"/>
        <v>287040</v>
      </c>
      <c r="AS253" s="18">
        <f t="shared" si="690"/>
        <v>2282.608695652174</v>
      </c>
      <c r="AT253" s="184" t="str">
        <f t="shared" si="714"/>
        <v/>
      </c>
      <c r="AU253" s="184" t="str">
        <f t="shared" si="715"/>
        <v/>
      </c>
      <c r="AV253" s="184" t="str">
        <f t="shared" si="716"/>
        <v/>
      </c>
      <c r="AW253" s="184" t="str">
        <f t="shared" si="717"/>
        <v/>
      </c>
      <c r="AX253" s="184" t="str">
        <f t="shared" si="718"/>
        <v/>
      </c>
      <c r="AY253" s="184" t="str">
        <f t="shared" si="719"/>
        <v/>
      </c>
      <c r="AZ253" s="184" t="str">
        <f t="shared" si="720"/>
        <v/>
      </c>
      <c r="BA253" s="184" t="str">
        <f t="shared" si="721"/>
        <v/>
      </c>
      <c r="BB253" s="184" t="str">
        <f t="shared" si="722"/>
        <v/>
      </c>
      <c r="BC253" s="184" t="str">
        <f t="shared" si="723"/>
        <v/>
      </c>
      <c r="BD253" s="184" t="str">
        <f t="shared" si="724"/>
        <v/>
      </c>
      <c r="BE253" s="184" t="str">
        <f t="shared" si="725"/>
        <v/>
      </c>
      <c r="BF253" s="184" t="str">
        <f t="shared" si="726"/>
        <v/>
      </c>
      <c r="BG253" s="184" t="str">
        <f t="shared" si="727"/>
        <v/>
      </c>
      <c r="BH253" s="184" t="str">
        <f t="shared" si="728"/>
        <v/>
      </c>
      <c r="BI253" s="184" t="str">
        <f t="shared" si="729"/>
        <v/>
      </c>
      <c r="BJ253" s="184" t="str">
        <f t="shared" si="730"/>
        <v/>
      </c>
      <c r="BK253" s="184" t="str">
        <f t="shared" si="731"/>
        <v/>
      </c>
      <c r="BL253" s="184" t="str">
        <f t="shared" si="732"/>
        <v/>
      </c>
      <c r="BM253" s="184" t="str">
        <f t="shared" si="733"/>
        <v/>
      </c>
      <c r="BN253" s="184" t="str">
        <f t="shared" si="734"/>
        <v/>
      </c>
      <c r="BO253" s="184" t="str">
        <f t="shared" si="735"/>
        <v/>
      </c>
      <c r="BP253" s="184" t="str">
        <f t="shared" si="736"/>
        <v/>
      </c>
      <c r="BQ253" s="184" t="str">
        <f t="shared" si="737"/>
        <v/>
      </c>
      <c r="BR253" s="184" t="str">
        <f t="shared" si="738"/>
        <v/>
      </c>
      <c r="BS253" s="184" t="str">
        <f t="shared" si="738"/>
        <v/>
      </c>
      <c r="BT253" s="184" t="str">
        <f t="shared" si="738"/>
        <v/>
      </c>
      <c r="BU253" s="184" t="str">
        <f t="shared" si="739"/>
        <v/>
      </c>
      <c r="BV253" s="184" t="str">
        <f t="shared" si="740"/>
        <v/>
      </c>
      <c r="BW253" s="184" t="str">
        <f t="shared" si="741"/>
        <v/>
      </c>
      <c r="BX253" s="184" t="str">
        <f t="shared" si="742"/>
        <v/>
      </c>
      <c r="BY253" s="184" t="str">
        <f t="shared" si="743"/>
        <v/>
      </c>
      <c r="BZ253" s="184" t="str">
        <f t="shared" si="744"/>
        <v/>
      </c>
      <c r="CA253" s="184" t="str">
        <f t="shared" si="745"/>
        <v/>
      </c>
      <c r="CB253" s="184" t="str">
        <f t="shared" si="746"/>
        <v/>
      </c>
      <c r="CC253" s="184" t="str">
        <f t="shared" si="747"/>
        <v/>
      </c>
      <c r="CD253" s="184" t="str">
        <f t="shared" si="748"/>
        <v/>
      </c>
      <c r="CE253" s="184" t="str">
        <f t="shared" si="749"/>
        <v/>
      </c>
      <c r="CF253" s="184" t="str">
        <f t="shared" si="750"/>
        <v/>
      </c>
      <c r="CG253" s="184" t="str">
        <f t="shared" si="751"/>
        <v/>
      </c>
      <c r="CH253" s="184" t="str">
        <f t="shared" si="752"/>
        <v/>
      </c>
      <c r="CI253" s="184" t="str">
        <f t="shared" si="753"/>
        <v/>
      </c>
      <c r="CJ253" s="184" t="str">
        <f t="shared" si="754"/>
        <v/>
      </c>
      <c r="CK253" s="184"/>
      <c r="CM253" s="184"/>
      <c r="CN253"/>
      <c r="CP253"/>
      <c r="CR253"/>
      <c r="CT253"/>
      <c r="CV253"/>
      <c r="CX253"/>
      <c r="CZ253"/>
      <c r="DB253"/>
      <c r="DD253"/>
      <c r="DF253"/>
      <c r="ED253" s="184"/>
      <c r="EF253" s="184"/>
      <c r="EH253" s="184"/>
      <c r="EJ253" s="184"/>
      <c r="EL253" s="184"/>
      <c r="EN253" s="184"/>
      <c r="EP253" s="184"/>
      <c r="ER253" s="184"/>
      <c r="ET253" s="184"/>
      <c r="EV253" s="184"/>
      <c r="EX253" s="184"/>
      <c r="EZ253" s="184"/>
      <c r="FB253" s="184"/>
    </row>
    <row r="254" spans="1:158">
      <c r="A254" s="184">
        <f t="shared" si="653"/>
        <v>57</v>
      </c>
      <c r="B254" s="18">
        <f t="shared" si="678"/>
        <v>11600</v>
      </c>
      <c r="C254" s="18">
        <f t="shared" si="755"/>
        <v>14366.666666667006</v>
      </c>
      <c r="D254" s="18">
        <f t="shared" si="756"/>
        <v>19016.666666666715</v>
      </c>
      <c r="E254" s="18">
        <f t="shared" si="691"/>
        <v>23016.666666666424</v>
      </c>
      <c r="F254" s="18">
        <f t="shared" si="692"/>
        <v>11683.333333333212</v>
      </c>
      <c r="G254" s="18">
        <f t="shared" si="693"/>
        <v>14483.333333332994</v>
      </c>
      <c r="H254" s="18">
        <f t="shared" si="694"/>
        <v>19000</v>
      </c>
      <c r="I254" s="18">
        <f t="shared" si="695"/>
        <v>11616.666666666824</v>
      </c>
      <c r="J254" s="18">
        <f t="shared" si="696"/>
        <v>15333.333333332994</v>
      </c>
      <c r="K254" s="18">
        <f t="shared" si="697"/>
        <v>19116.666666666788</v>
      </c>
      <c r="L254" s="18">
        <f t="shared" si="698"/>
        <v>22966.666666666351</v>
      </c>
      <c r="M254" s="18">
        <f t="shared" si="699"/>
        <v>29533.333333334012</v>
      </c>
      <c r="N254" s="18">
        <f t="shared" si="700"/>
        <v>14650</v>
      </c>
      <c r="O254" s="18">
        <f t="shared" si="701"/>
        <v>19116.666666666715</v>
      </c>
      <c r="P254" s="18">
        <f t="shared" si="702"/>
        <v>21650</v>
      </c>
      <c r="Q254" s="18">
        <f t="shared" si="703"/>
        <v>26133.333333334012</v>
      </c>
      <c r="R254" s="18">
        <f t="shared" si="704"/>
        <v>38950</v>
      </c>
      <c r="S254" s="18">
        <f t="shared" si="705"/>
        <v>23083.333333333867</v>
      </c>
      <c r="T254" s="18">
        <f t="shared" si="706"/>
        <v>26141.666666665988</v>
      </c>
      <c r="U254" s="18">
        <f t="shared" si="707"/>
        <v>29810.733333333119</v>
      </c>
      <c r="V254" s="18">
        <f t="shared" si="708"/>
        <v>37763.999999999069</v>
      </c>
      <c r="W254" s="18">
        <f t="shared" si="709"/>
        <v>47414.799999998359</v>
      </c>
      <c r="X254" s="18">
        <f t="shared" si="710"/>
        <v>57591.000000000931</v>
      </c>
      <c r="Y254" s="18">
        <f t="shared" si="711"/>
        <v>55833.333333331975</v>
      </c>
      <c r="Z254" s="18">
        <f t="shared" si="710"/>
        <v>46293.333333332266</v>
      </c>
      <c r="AA254" s="18">
        <f t="shared" ref="AA254:AB254" si="779">AA253+(AA$234-AA$233)/2</f>
        <v>54186.666666668025</v>
      </c>
      <c r="AB254" s="18">
        <f t="shared" si="779"/>
        <v>68860</v>
      </c>
      <c r="AC254" s="18">
        <f t="shared" si="679"/>
        <v>28000</v>
      </c>
      <c r="AD254" s="18">
        <f t="shared" si="766"/>
        <v>36000</v>
      </c>
      <c r="AE254" s="18">
        <f t="shared" si="767"/>
        <v>42000</v>
      </c>
      <c r="AF254" s="18">
        <f t="shared" si="768"/>
        <v>48000</v>
      </c>
      <c r="AG254" s="18">
        <f t="shared" si="769"/>
        <v>60000</v>
      </c>
      <c r="AH254" s="18">
        <f t="shared" si="769"/>
        <v>38000</v>
      </c>
      <c r="AI254" s="18">
        <f t="shared" si="769"/>
        <v>45600</v>
      </c>
      <c r="AJ254" s="18">
        <f t="shared" si="769"/>
        <v>50000</v>
      </c>
      <c r="AK254" s="18">
        <f t="shared" si="769"/>
        <v>58000</v>
      </c>
      <c r="AL254" s="18">
        <f t="shared" si="770"/>
        <v>44000</v>
      </c>
      <c r="AM254" s="18">
        <f t="shared" si="771"/>
        <v>50000</v>
      </c>
      <c r="AN254" s="18">
        <f t="shared" si="772"/>
        <v>57200</v>
      </c>
      <c r="AO254" s="18">
        <f t="shared" si="773"/>
        <v>90000</v>
      </c>
      <c r="AP254" s="18">
        <f t="shared" si="774"/>
        <v>96000</v>
      </c>
      <c r="AQ254" s="18">
        <f t="shared" si="775"/>
        <v>108000</v>
      </c>
      <c r="AR254" s="18">
        <f t="shared" si="776"/>
        <v>294400</v>
      </c>
      <c r="AS254" s="18">
        <f t="shared" si="690"/>
        <v>1956.5217391304348</v>
      </c>
      <c r="AT254" s="184" t="str">
        <f t="shared" si="714"/>
        <v/>
      </c>
      <c r="AU254" s="184" t="str">
        <f t="shared" si="715"/>
        <v/>
      </c>
      <c r="AV254" s="184" t="str">
        <f t="shared" si="716"/>
        <v/>
      </c>
      <c r="AW254" s="184" t="str">
        <f t="shared" si="717"/>
        <v/>
      </c>
      <c r="AX254" s="184" t="str">
        <f t="shared" si="718"/>
        <v/>
      </c>
      <c r="AY254" s="184" t="str">
        <f t="shared" si="719"/>
        <v/>
      </c>
      <c r="AZ254" s="184" t="str">
        <f t="shared" si="720"/>
        <v/>
      </c>
      <c r="BA254" s="184" t="str">
        <f t="shared" si="721"/>
        <v/>
      </c>
      <c r="BB254" s="184" t="str">
        <f t="shared" si="722"/>
        <v/>
      </c>
      <c r="BC254" s="184" t="str">
        <f t="shared" si="723"/>
        <v/>
      </c>
      <c r="BD254" s="184" t="str">
        <f t="shared" si="724"/>
        <v/>
      </c>
      <c r="BE254" s="184" t="str">
        <f t="shared" si="725"/>
        <v/>
      </c>
      <c r="BF254" s="184" t="str">
        <f t="shared" si="726"/>
        <v/>
      </c>
      <c r="BG254" s="184" t="str">
        <f t="shared" si="727"/>
        <v/>
      </c>
      <c r="BH254" s="184" t="str">
        <f t="shared" si="728"/>
        <v/>
      </c>
      <c r="BI254" s="184" t="str">
        <f t="shared" si="729"/>
        <v/>
      </c>
      <c r="BJ254" s="184" t="str">
        <f t="shared" si="730"/>
        <v/>
      </c>
      <c r="BK254" s="184" t="str">
        <f t="shared" si="731"/>
        <v/>
      </c>
      <c r="BL254" s="184" t="str">
        <f t="shared" si="732"/>
        <v/>
      </c>
      <c r="BM254" s="184" t="str">
        <f t="shared" si="733"/>
        <v/>
      </c>
      <c r="BN254" s="184" t="str">
        <f t="shared" si="734"/>
        <v/>
      </c>
      <c r="BO254" s="184" t="str">
        <f t="shared" si="735"/>
        <v/>
      </c>
      <c r="BP254" s="184" t="str">
        <f t="shared" si="736"/>
        <v/>
      </c>
      <c r="BQ254" s="184" t="str">
        <f t="shared" si="737"/>
        <v/>
      </c>
      <c r="BR254" s="184" t="str">
        <f t="shared" si="738"/>
        <v/>
      </c>
      <c r="BS254" s="184" t="str">
        <f t="shared" si="738"/>
        <v/>
      </c>
      <c r="BT254" s="184" t="str">
        <f t="shared" si="738"/>
        <v/>
      </c>
      <c r="BU254" s="184" t="str">
        <f t="shared" si="739"/>
        <v/>
      </c>
      <c r="BV254" s="184" t="str">
        <f t="shared" si="740"/>
        <v/>
      </c>
      <c r="BW254" s="184" t="str">
        <f t="shared" si="741"/>
        <v/>
      </c>
      <c r="BX254" s="184" t="str">
        <f t="shared" si="742"/>
        <v/>
      </c>
      <c r="BY254" s="184" t="str">
        <f t="shared" si="743"/>
        <v/>
      </c>
      <c r="BZ254" s="184" t="str">
        <f t="shared" si="744"/>
        <v/>
      </c>
      <c r="CA254" s="184" t="str">
        <f t="shared" si="745"/>
        <v/>
      </c>
      <c r="CB254" s="184" t="str">
        <f t="shared" si="746"/>
        <v/>
      </c>
      <c r="CC254" s="184" t="str">
        <f t="shared" si="747"/>
        <v/>
      </c>
      <c r="CD254" s="184" t="str">
        <f t="shared" si="748"/>
        <v/>
      </c>
      <c r="CE254" s="184" t="str">
        <f t="shared" si="749"/>
        <v/>
      </c>
      <c r="CF254" s="184" t="str">
        <f t="shared" si="750"/>
        <v/>
      </c>
      <c r="CG254" s="184" t="str">
        <f t="shared" si="751"/>
        <v/>
      </c>
      <c r="CH254" s="184" t="str">
        <f t="shared" si="752"/>
        <v/>
      </c>
      <c r="CI254" s="184" t="str">
        <f t="shared" si="753"/>
        <v/>
      </c>
      <c r="CJ254" s="184" t="str">
        <f t="shared" si="754"/>
        <v/>
      </c>
      <c r="CK254" s="184"/>
      <c r="CM254" s="184"/>
      <c r="CN254"/>
      <c r="CP254"/>
      <c r="CR254"/>
      <c r="CT254"/>
      <c r="CV254"/>
      <c r="CX254"/>
      <c r="CZ254"/>
      <c r="DB254"/>
      <c r="DD254"/>
      <c r="DF254"/>
      <c r="ED254" s="184"/>
      <c r="EF254" s="184"/>
      <c r="EH254" s="184"/>
      <c r="EJ254" s="184"/>
      <c r="EL254" s="184"/>
      <c r="EN254" s="184"/>
      <c r="EP254" s="184"/>
      <c r="ER254" s="184"/>
      <c r="ET254" s="184"/>
      <c r="EV254" s="184"/>
      <c r="EX254" s="184"/>
      <c r="EZ254" s="184"/>
      <c r="FB254" s="184"/>
    </row>
    <row r="255" spans="1:158">
      <c r="A255" s="184">
        <f t="shared" si="653"/>
        <v>57.5</v>
      </c>
      <c r="B255" s="18">
        <f t="shared" si="678"/>
        <v>11635</v>
      </c>
      <c r="C255" s="18">
        <f t="shared" si="755"/>
        <v>14405.000000000357</v>
      </c>
      <c r="D255" s="18">
        <f t="shared" si="756"/>
        <v>19067.500000000051</v>
      </c>
      <c r="E255" s="18">
        <f t="shared" si="691"/>
        <v>23087.499999999745</v>
      </c>
      <c r="F255" s="18">
        <f t="shared" si="692"/>
        <v>11722.499999999873</v>
      </c>
      <c r="G255" s="18">
        <f t="shared" si="693"/>
        <v>14527.499999999643</v>
      </c>
      <c r="H255" s="18">
        <f t="shared" si="694"/>
        <v>19050</v>
      </c>
      <c r="I255" s="18">
        <f t="shared" si="695"/>
        <v>11652.500000000166</v>
      </c>
      <c r="J255" s="18">
        <f t="shared" si="696"/>
        <v>15379.999999999643</v>
      </c>
      <c r="K255" s="18">
        <f t="shared" si="697"/>
        <v>19172.500000000127</v>
      </c>
      <c r="L255" s="18">
        <f t="shared" si="698"/>
        <v>23034.999999999669</v>
      </c>
      <c r="M255" s="18">
        <f t="shared" si="699"/>
        <v>29630.000000000713</v>
      </c>
      <c r="N255" s="18">
        <f t="shared" si="700"/>
        <v>14677.5</v>
      </c>
      <c r="O255" s="18">
        <f t="shared" si="701"/>
        <v>19167.500000000051</v>
      </c>
      <c r="P255" s="18">
        <f t="shared" si="702"/>
        <v>21687.5</v>
      </c>
      <c r="Q255" s="18">
        <f t="shared" si="703"/>
        <v>26190.000000000713</v>
      </c>
      <c r="R255" s="18">
        <f t="shared" si="704"/>
        <v>39052.5</v>
      </c>
      <c r="S255" s="18">
        <f t="shared" si="705"/>
        <v>23137.50000000056</v>
      </c>
      <c r="T255" s="18">
        <f t="shared" si="706"/>
        <v>26198.749999999287</v>
      </c>
      <c r="U255" s="18">
        <f t="shared" si="707"/>
        <v>29871.269999999775</v>
      </c>
      <c r="V255" s="18">
        <f t="shared" si="708"/>
        <v>37852.199999999022</v>
      </c>
      <c r="W255" s="18">
        <f t="shared" si="709"/>
        <v>47525.539999998276</v>
      </c>
      <c r="X255" s="18">
        <f t="shared" si="710"/>
        <v>57770.550000000978</v>
      </c>
      <c r="Y255" s="18">
        <f t="shared" si="711"/>
        <v>55924.999999998574</v>
      </c>
      <c r="Z255" s="18">
        <f t="shared" si="710"/>
        <v>46407.99999999888</v>
      </c>
      <c r="AA255" s="18">
        <f t="shared" ref="AA255:AB255" si="780">AA254+(AA$234-AA$233)/2</f>
        <v>54296.000000001426</v>
      </c>
      <c r="AB255" s="18">
        <f t="shared" si="780"/>
        <v>69003</v>
      </c>
      <c r="AC255" s="18">
        <f t="shared" si="679"/>
        <v>28700</v>
      </c>
      <c r="AD255" s="18">
        <f t="shared" si="766"/>
        <v>36900</v>
      </c>
      <c r="AE255" s="18">
        <f t="shared" si="767"/>
        <v>43050</v>
      </c>
      <c r="AF255" s="18">
        <f t="shared" si="768"/>
        <v>49200</v>
      </c>
      <c r="AG255" s="18">
        <f t="shared" si="769"/>
        <v>61500</v>
      </c>
      <c r="AH255" s="18">
        <f t="shared" si="769"/>
        <v>38950</v>
      </c>
      <c r="AI255" s="18">
        <f t="shared" si="769"/>
        <v>46740</v>
      </c>
      <c r="AJ255" s="18">
        <f t="shared" si="769"/>
        <v>51250</v>
      </c>
      <c r="AK255" s="18">
        <f t="shared" si="769"/>
        <v>59450</v>
      </c>
      <c r="AL255" s="18">
        <f t="shared" si="770"/>
        <v>45100</v>
      </c>
      <c r="AM255" s="18">
        <f t="shared" si="771"/>
        <v>51250</v>
      </c>
      <c r="AN255" s="18">
        <f t="shared" si="772"/>
        <v>58630</v>
      </c>
      <c r="AO255" s="18">
        <f t="shared" si="773"/>
        <v>92250</v>
      </c>
      <c r="AP255" s="18">
        <f t="shared" si="774"/>
        <v>98400</v>
      </c>
      <c r="AQ255" s="18">
        <f t="shared" si="775"/>
        <v>110700</v>
      </c>
      <c r="AR255" s="18">
        <f t="shared" si="776"/>
        <v>301760</v>
      </c>
      <c r="AS255" s="18">
        <f t="shared" si="690"/>
        <v>1630.4347826086957</v>
      </c>
      <c r="AT255" s="184" t="str">
        <f t="shared" si="714"/>
        <v/>
      </c>
      <c r="AU255" s="184" t="str">
        <f t="shared" si="715"/>
        <v/>
      </c>
      <c r="AV255" s="184" t="str">
        <f t="shared" si="716"/>
        <v/>
      </c>
      <c r="AW255" s="184" t="str">
        <f t="shared" si="717"/>
        <v/>
      </c>
      <c r="AX255" s="184" t="str">
        <f t="shared" si="718"/>
        <v/>
      </c>
      <c r="AY255" s="184" t="str">
        <f t="shared" si="719"/>
        <v/>
      </c>
      <c r="AZ255" s="184" t="str">
        <f t="shared" si="720"/>
        <v/>
      </c>
      <c r="BA255" s="184" t="str">
        <f t="shared" si="721"/>
        <v/>
      </c>
      <c r="BB255" s="184" t="str">
        <f t="shared" si="722"/>
        <v/>
      </c>
      <c r="BC255" s="184" t="str">
        <f t="shared" si="723"/>
        <v/>
      </c>
      <c r="BD255" s="184" t="str">
        <f t="shared" si="724"/>
        <v/>
      </c>
      <c r="BE255" s="184" t="str">
        <f t="shared" si="725"/>
        <v/>
      </c>
      <c r="BF255" s="184" t="str">
        <f t="shared" si="726"/>
        <v/>
      </c>
      <c r="BG255" s="184" t="str">
        <f t="shared" si="727"/>
        <v/>
      </c>
      <c r="BH255" s="184" t="str">
        <f t="shared" si="728"/>
        <v/>
      </c>
      <c r="BI255" s="184" t="str">
        <f t="shared" si="729"/>
        <v/>
      </c>
      <c r="BJ255" s="184" t="str">
        <f t="shared" si="730"/>
        <v/>
      </c>
      <c r="BK255" s="184" t="str">
        <f t="shared" si="731"/>
        <v/>
      </c>
      <c r="BL255" s="184" t="str">
        <f t="shared" si="732"/>
        <v/>
      </c>
      <c r="BM255" s="184" t="str">
        <f t="shared" si="733"/>
        <v/>
      </c>
      <c r="BN255" s="184" t="str">
        <f t="shared" si="734"/>
        <v/>
      </c>
      <c r="BO255" s="184" t="str">
        <f t="shared" si="735"/>
        <v/>
      </c>
      <c r="BP255" s="184" t="str">
        <f t="shared" si="736"/>
        <v/>
      </c>
      <c r="BQ255" s="184" t="str">
        <f t="shared" si="737"/>
        <v/>
      </c>
      <c r="BR255" s="184" t="str">
        <f t="shared" si="738"/>
        <v/>
      </c>
      <c r="BS255" s="184" t="str">
        <f t="shared" si="738"/>
        <v/>
      </c>
      <c r="BT255" s="184" t="str">
        <f t="shared" si="738"/>
        <v/>
      </c>
      <c r="BU255" s="184" t="str">
        <f t="shared" si="739"/>
        <v/>
      </c>
      <c r="BV255" s="184" t="str">
        <f t="shared" si="740"/>
        <v/>
      </c>
      <c r="BW255" s="184" t="str">
        <f t="shared" si="741"/>
        <v/>
      </c>
      <c r="BX255" s="184" t="str">
        <f t="shared" si="742"/>
        <v/>
      </c>
      <c r="BY255" s="184" t="str">
        <f t="shared" si="743"/>
        <v/>
      </c>
      <c r="BZ255" s="184" t="str">
        <f t="shared" si="744"/>
        <v/>
      </c>
      <c r="CA255" s="184" t="str">
        <f t="shared" si="745"/>
        <v/>
      </c>
      <c r="CB255" s="184" t="str">
        <f t="shared" si="746"/>
        <v/>
      </c>
      <c r="CC255" s="184" t="str">
        <f t="shared" si="747"/>
        <v/>
      </c>
      <c r="CD255" s="184" t="str">
        <f t="shared" si="748"/>
        <v/>
      </c>
      <c r="CE255" s="184" t="str">
        <f t="shared" si="749"/>
        <v/>
      </c>
      <c r="CF255" s="184" t="str">
        <f t="shared" si="750"/>
        <v/>
      </c>
      <c r="CG255" s="184" t="str">
        <f t="shared" si="751"/>
        <v/>
      </c>
      <c r="CH255" s="184" t="str">
        <f t="shared" si="752"/>
        <v/>
      </c>
      <c r="CI255" s="184" t="str">
        <f t="shared" si="753"/>
        <v/>
      </c>
      <c r="CJ255" s="184" t="str">
        <f t="shared" si="754"/>
        <v/>
      </c>
      <c r="CK255" s="184"/>
      <c r="CM255" s="184"/>
      <c r="CN255"/>
      <c r="CP255"/>
      <c r="CR255"/>
      <c r="CT255"/>
      <c r="CV255"/>
      <c r="CX255"/>
      <c r="CZ255"/>
      <c r="DB255"/>
      <c r="DD255"/>
      <c r="DF255"/>
      <c r="ED255" s="184"/>
      <c r="EF255" s="184"/>
      <c r="EH255" s="184"/>
      <c r="EJ255" s="184"/>
      <c r="EL255" s="184"/>
      <c r="EN255" s="184"/>
      <c r="EP255" s="184"/>
      <c r="ER255" s="184"/>
      <c r="ET255" s="184"/>
      <c r="EV255" s="184"/>
      <c r="EX255" s="184"/>
      <c r="EZ255" s="184"/>
      <c r="FB255" s="184"/>
    </row>
    <row r="256" spans="1:158">
      <c r="A256" s="184">
        <f t="shared" si="653"/>
        <v>58</v>
      </c>
      <c r="B256" s="18">
        <f t="shared" si="678"/>
        <v>11670</v>
      </c>
      <c r="C256" s="18">
        <f t="shared" si="755"/>
        <v>14443.333333333707</v>
      </c>
      <c r="D256" s="18">
        <f t="shared" si="756"/>
        <v>19118.333333333387</v>
      </c>
      <c r="E256" s="18">
        <f t="shared" si="691"/>
        <v>23158.333333333067</v>
      </c>
      <c r="F256" s="18">
        <f t="shared" si="692"/>
        <v>11761.666666666533</v>
      </c>
      <c r="G256" s="18">
        <f t="shared" si="693"/>
        <v>14571.666666666293</v>
      </c>
      <c r="H256" s="18">
        <f t="shared" si="694"/>
        <v>19100</v>
      </c>
      <c r="I256" s="18">
        <f t="shared" si="695"/>
        <v>11688.333333333507</v>
      </c>
      <c r="J256" s="18">
        <f t="shared" si="696"/>
        <v>15426.666666666293</v>
      </c>
      <c r="K256" s="18">
        <f t="shared" si="697"/>
        <v>19228.333333333467</v>
      </c>
      <c r="L256" s="18">
        <f t="shared" si="698"/>
        <v>23103.333333332987</v>
      </c>
      <c r="M256" s="18">
        <f t="shared" si="699"/>
        <v>29726.666666667414</v>
      </c>
      <c r="N256" s="18">
        <f t="shared" si="700"/>
        <v>14705</v>
      </c>
      <c r="O256" s="18">
        <f t="shared" si="701"/>
        <v>19218.333333333387</v>
      </c>
      <c r="P256" s="18">
        <f t="shared" si="702"/>
        <v>21725</v>
      </c>
      <c r="Q256" s="18">
        <f t="shared" si="703"/>
        <v>26246.666666667414</v>
      </c>
      <c r="R256" s="18">
        <f t="shared" si="704"/>
        <v>39155</v>
      </c>
      <c r="S256" s="18">
        <f t="shared" si="705"/>
        <v>23191.666666667254</v>
      </c>
      <c r="T256" s="18">
        <f t="shared" si="706"/>
        <v>26255.833333332586</v>
      </c>
      <c r="U256" s="18">
        <f t="shared" si="707"/>
        <v>29931.806666666431</v>
      </c>
      <c r="V256" s="18">
        <f t="shared" si="708"/>
        <v>37940.399999998976</v>
      </c>
      <c r="W256" s="18">
        <f t="shared" si="709"/>
        <v>47636.279999998194</v>
      </c>
      <c r="X256" s="18">
        <f t="shared" si="710"/>
        <v>57950.100000001024</v>
      </c>
      <c r="Y256" s="18">
        <f t="shared" si="711"/>
        <v>56016.666666665173</v>
      </c>
      <c r="Z256" s="18">
        <f t="shared" si="710"/>
        <v>46522.666666665493</v>
      </c>
      <c r="AA256" s="18">
        <f t="shared" ref="AA256:AB256" si="781">AA255+(AA$234-AA$233)/2</f>
        <v>54405.333333334827</v>
      </c>
      <c r="AB256" s="18">
        <f t="shared" si="781"/>
        <v>69146</v>
      </c>
      <c r="AC256" s="18">
        <f t="shared" si="679"/>
        <v>29400</v>
      </c>
      <c r="AD256" s="18">
        <f t="shared" si="766"/>
        <v>37800</v>
      </c>
      <c r="AE256" s="18">
        <f t="shared" si="767"/>
        <v>44100</v>
      </c>
      <c r="AF256" s="18">
        <f t="shared" si="768"/>
        <v>50400</v>
      </c>
      <c r="AG256" s="18">
        <f t="shared" si="769"/>
        <v>63000</v>
      </c>
      <c r="AH256" s="18">
        <f t="shared" si="769"/>
        <v>39900</v>
      </c>
      <c r="AI256" s="18">
        <f t="shared" si="769"/>
        <v>47880</v>
      </c>
      <c r="AJ256" s="18">
        <f t="shared" si="769"/>
        <v>52500</v>
      </c>
      <c r="AK256" s="18">
        <f t="shared" si="769"/>
        <v>60900</v>
      </c>
      <c r="AL256" s="18">
        <f t="shared" si="770"/>
        <v>46200</v>
      </c>
      <c r="AM256" s="18">
        <f t="shared" si="771"/>
        <v>52500</v>
      </c>
      <c r="AN256" s="18">
        <f t="shared" si="772"/>
        <v>60060</v>
      </c>
      <c r="AO256" s="18">
        <f t="shared" si="773"/>
        <v>94500</v>
      </c>
      <c r="AP256" s="18">
        <f t="shared" si="774"/>
        <v>100800</v>
      </c>
      <c r="AQ256" s="18">
        <f t="shared" si="775"/>
        <v>113400</v>
      </c>
      <c r="AR256" s="18">
        <f t="shared" si="776"/>
        <v>309120</v>
      </c>
      <c r="AS256" s="18">
        <f t="shared" si="690"/>
        <v>1304.3478260869565</v>
      </c>
      <c r="AT256" s="184" t="str">
        <f t="shared" si="714"/>
        <v/>
      </c>
      <c r="AU256" s="184" t="str">
        <f t="shared" si="715"/>
        <v/>
      </c>
      <c r="AV256" s="184" t="str">
        <f t="shared" si="716"/>
        <v/>
      </c>
      <c r="AW256" s="184" t="str">
        <f t="shared" si="717"/>
        <v/>
      </c>
      <c r="AX256" s="184" t="str">
        <f t="shared" si="718"/>
        <v/>
      </c>
      <c r="AY256" s="184" t="str">
        <f t="shared" si="719"/>
        <v/>
      </c>
      <c r="AZ256" s="184" t="str">
        <f t="shared" si="720"/>
        <v/>
      </c>
      <c r="BA256" s="184" t="str">
        <f t="shared" si="721"/>
        <v/>
      </c>
      <c r="BB256" s="184" t="str">
        <f t="shared" si="722"/>
        <v/>
      </c>
      <c r="BC256" s="184" t="str">
        <f t="shared" si="723"/>
        <v/>
      </c>
      <c r="BD256" s="184" t="str">
        <f t="shared" si="724"/>
        <v/>
      </c>
      <c r="BE256" s="184" t="str">
        <f t="shared" si="725"/>
        <v/>
      </c>
      <c r="BF256" s="184" t="str">
        <f t="shared" si="726"/>
        <v/>
      </c>
      <c r="BG256" s="184" t="str">
        <f t="shared" si="727"/>
        <v/>
      </c>
      <c r="BH256" s="184" t="str">
        <f t="shared" si="728"/>
        <v/>
      </c>
      <c r="BI256" s="184" t="str">
        <f t="shared" si="729"/>
        <v/>
      </c>
      <c r="BJ256" s="184" t="str">
        <f t="shared" si="730"/>
        <v/>
      </c>
      <c r="BK256" s="184" t="str">
        <f t="shared" si="731"/>
        <v/>
      </c>
      <c r="BL256" s="184" t="str">
        <f t="shared" si="732"/>
        <v/>
      </c>
      <c r="BM256" s="184" t="str">
        <f t="shared" si="733"/>
        <v/>
      </c>
      <c r="BN256" s="184" t="str">
        <f t="shared" si="734"/>
        <v/>
      </c>
      <c r="BO256" s="184" t="str">
        <f t="shared" si="735"/>
        <v/>
      </c>
      <c r="BP256" s="184" t="str">
        <f t="shared" si="736"/>
        <v/>
      </c>
      <c r="BQ256" s="184" t="str">
        <f t="shared" si="737"/>
        <v/>
      </c>
      <c r="BR256" s="184" t="str">
        <f t="shared" si="738"/>
        <v/>
      </c>
      <c r="BS256" s="184" t="str">
        <f t="shared" si="738"/>
        <v/>
      </c>
      <c r="BT256" s="184" t="str">
        <f t="shared" si="738"/>
        <v/>
      </c>
      <c r="BU256" s="184" t="str">
        <f t="shared" si="739"/>
        <v/>
      </c>
      <c r="BV256" s="184" t="str">
        <f t="shared" si="740"/>
        <v/>
      </c>
      <c r="BW256" s="184" t="str">
        <f t="shared" si="741"/>
        <v/>
      </c>
      <c r="BX256" s="184" t="str">
        <f t="shared" si="742"/>
        <v/>
      </c>
      <c r="BY256" s="184" t="str">
        <f t="shared" si="743"/>
        <v/>
      </c>
      <c r="BZ256" s="184" t="str">
        <f t="shared" si="744"/>
        <v/>
      </c>
      <c r="CA256" s="184" t="str">
        <f t="shared" si="745"/>
        <v/>
      </c>
      <c r="CB256" s="184" t="str">
        <f t="shared" si="746"/>
        <v/>
      </c>
      <c r="CC256" s="184" t="str">
        <f t="shared" si="747"/>
        <v/>
      </c>
      <c r="CD256" s="184" t="str">
        <f t="shared" si="748"/>
        <v/>
      </c>
      <c r="CE256" s="184" t="str">
        <f t="shared" si="749"/>
        <v/>
      </c>
      <c r="CF256" s="184" t="str">
        <f t="shared" si="750"/>
        <v/>
      </c>
      <c r="CG256" s="184" t="str">
        <f t="shared" si="751"/>
        <v/>
      </c>
      <c r="CH256" s="184" t="str">
        <f t="shared" si="752"/>
        <v/>
      </c>
      <c r="CI256" s="184" t="str">
        <f t="shared" si="753"/>
        <v/>
      </c>
      <c r="CJ256" s="184" t="str">
        <f t="shared" si="754"/>
        <v/>
      </c>
      <c r="CK256" s="184"/>
      <c r="CM256" s="184"/>
      <c r="CN256"/>
      <c r="CP256"/>
      <c r="CR256"/>
      <c r="CT256"/>
      <c r="CV256"/>
      <c r="CX256"/>
      <c r="CZ256"/>
      <c r="DB256"/>
      <c r="DD256"/>
      <c r="DF256"/>
      <c r="ED256" s="184"/>
      <c r="EF256" s="184"/>
      <c r="EH256" s="184"/>
      <c r="EJ256" s="184"/>
      <c r="EL256" s="184"/>
      <c r="EN256" s="184"/>
      <c r="EP256" s="184"/>
      <c r="ER256" s="184"/>
      <c r="ET256" s="184"/>
      <c r="EV256" s="184"/>
      <c r="EX256" s="184"/>
      <c r="EZ256" s="184"/>
      <c r="FB256" s="184"/>
    </row>
    <row r="257" spans="1:158">
      <c r="A257" s="184">
        <f t="shared" si="653"/>
        <v>58.5</v>
      </c>
      <c r="B257" s="18">
        <f t="shared" si="678"/>
        <v>11705</v>
      </c>
      <c r="C257" s="18">
        <f t="shared" si="755"/>
        <v>14481.666666667057</v>
      </c>
      <c r="D257" s="18">
        <f t="shared" si="756"/>
        <v>19169.166666666722</v>
      </c>
      <c r="E257" s="18">
        <f t="shared" si="691"/>
        <v>23229.166666666388</v>
      </c>
      <c r="F257" s="18">
        <f t="shared" si="692"/>
        <v>11800.833333333194</v>
      </c>
      <c r="G257" s="18">
        <f t="shared" si="693"/>
        <v>14615.833333332943</v>
      </c>
      <c r="H257" s="18">
        <f t="shared" si="694"/>
        <v>19150</v>
      </c>
      <c r="I257" s="18">
        <f t="shared" si="695"/>
        <v>11724.166666666848</v>
      </c>
      <c r="J257" s="18">
        <f t="shared" si="696"/>
        <v>15473.333333332943</v>
      </c>
      <c r="K257" s="18">
        <f t="shared" si="697"/>
        <v>19284.166666666806</v>
      </c>
      <c r="L257" s="18">
        <f t="shared" si="698"/>
        <v>23171.666666666304</v>
      </c>
      <c r="M257" s="18">
        <f t="shared" si="699"/>
        <v>29823.333333334114</v>
      </c>
      <c r="N257" s="18">
        <f t="shared" si="700"/>
        <v>14732.5</v>
      </c>
      <c r="O257" s="18">
        <f t="shared" si="701"/>
        <v>19269.166666666722</v>
      </c>
      <c r="P257" s="18">
        <f t="shared" si="702"/>
        <v>21762.5</v>
      </c>
      <c r="Q257" s="18">
        <f t="shared" si="703"/>
        <v>26303.333333334114</v>
      </c>
      <c r="R257" s="18">
        <f t="shared" si="704"/>
        <v>39257.5</v>
      </c>
      <c r="S257" s="18">
        <f t="shared" si="705"/>
        <v>23245.833333333947</v>
      </c>
      <c r="T257" s="18">
        <f t="shared" si="706"/>
        <v>26312.916666665886</v>
      </c>
      <c r="U257" s="18">
        <f t="shared" si="707"/>
        <v>29992.343333333087</v>
      </c>
      <c r="V257" s="18">
        <f t="shared" si="708"/>
        <v>38028.599999998929</v>
      </c>
      <c r="W257" s="18">
        <f t="shared" si="709"/>
        <v>47747.019999998112</v>
      </c>
      <c r="X257" s="18">
        <f t="shared" si="710"/>
        <v>58129.650000001071</v>
      </c>
      <c r="Y257" s="18">
        <f t="shared" si="711"/>
        <v>56108.333333331771</v>
      </c>
      <c r="Z257" s="18">
        <f t="shared" si="710"/>
        <v>46637.333333332106</v>
      </c>
      <c r="AA257" s="18">
        <f t="shared" ref="AA257:AB257" si="782">AA256+(AA$234-AA$233)/2</f>
        <v>54514.666666668229</v>
      </c>
      <c r="AB257" s="18">
        <f t="shared" si="782"/>
        <v>69289</v>
      </c>
      <c r="AC257" s="18">
        <f t="shared" si="679"/>
        <v>30100</v>
      </c>
      <c r="AD257" s="18">
        <f t="shared" si="766"/>
        <v>38700</v>
      </c>
      <c r="AE257" s="18">
        <f t="shared" si="767"/>
        <v>45150</v>
      </c>
      <c r="AF257" s="18">
        <f t="shared" si="768"/>
        <v>51600</v>
      </c>
      <c r="AG257" s="18">
        <f t="shared" si="769"/>
        <v>64500</v>
      </c>
      <c r="AH257" s="18">
        <f t="shared" si="769"/>
        <v>40850</v>
      </c>
      <c r="AI257" s="18">
        <f t="shared" si="769"/>
        <v>49020</v>
      </c>
      <c r="AJ257" s="18">
        <f t="shared" si="769"/>
        <v>53750</v>
      </c>
      <c r="AK257" s="18">
        <f t="shared" si="769"/>
        <v>62350</v>
      </c>
      <c r="AL257" s="18">
        <f t="shared" si="770"/>
        <v>47300</v>
      </c>
      <c r="AM257" s="18">
        <f t="shared" si="771"/>
        <v>53750</v>
      </c>
      <c r="AN257" s="18">
        <f t="shared" si="772"/>
        <v>61490</v>
      </c>
      <c r="AO257" s="18">
        <f t="shared" si="773"/>
        <v>96750</v>
      </c>
      <c r="AP257" s="18">
        <f t="shared" si="774"/>
        <v>103200</v>
      </c>
      <c r="AQ257" s="18">
        <f t="shared" si="775"/>
        <v>116100</v>
      </c>
      <c r="AR257" s="18">
        <f t="shared" si="776"/>
        <v>316480</v>
      </c>
      <c r="AS257" s="18">
        <f t="shared" si="690"/>
        <v>978.26086956521738</v>
      </c>
      <c r="AT257" s="184" t="str">
        <f t="shared" si="714"/>
        <v/>
      </c>
      <c r="AU257" s="184" t="str">
        <f t="shared" si="715"/>
        <v/>
      </c>
      <c r="AV257" s="184" t="str">
        <f t="shared" si="716"/>
        <v/>
      </c>
      <c r="AW257" s="184" t="str">
        <f t="shared" si="717"/>
        <v/>
      </c>
      <c r="AX257" s="184" t="str">
        <f t="shared" si="718"/>
        <v/>
      </c>
      <c r="AY257" s="184" t="str">
        <f t="shared" si="719"/>
        <v/>
      </c>
      <c r="AZ257" s="184" t="str">
        <f t="shared" si="720"/>
        <v/>
      </c>
      <c r="BA257" s="184" t="str">
        <f t="shared" si="721"/>
        <v/>
      </c>
      <c r="BB257" s="184" t="str">
        <f t="shared" si="722"/>
        <v/>
      </c>
      <c r="BC257" s="184" t="str">
        <f t="shared" si="723"/>
        <v/>
      </c>
      <c r="BD257" s="184" t="str">
        <f t="shared" si="724"/>
        <v/>
      </c>
      <c r="BE257" s="184" t="str">
        <f t="shared" si="725"/>
        <v/>
      </c>
      <c r="BF257" s="184" t="str">
        <f t="shared" si="726"/>
        <v/>
      </c>
      <c r="BG257" s="184" t="str">
        <f t="shared" si="727"/>
        <v/>
      </c>
      <c r="BH257" s="184" t="str">
        <f t="shared" si="728"/>
        <v/>
      </c>
      <c r="BI257" s="184" t="str">
        <f t="shared" si="729"/>
        <v/>
      </c>
      <c r="BJ257" s="184" t="str">
        <f t="shared" si="730"/>
        <v/>
      </c>
      <c r="BK257" s="184" t="str">
        <f t="shared" si="731"/>
        <v/>
      </c>
      <c r="BL257" s="184" t="str">
        <f t="shared" si="732"/>
        <v/>
      </c>
      <c r="BM257" s="184" t="str">
        <f t="shared" si="733"/>
        <v/>
      </c>
      <c r="BN257" s="184" t="str">
        <f t="shared" si="734"/>
        <v/>
      </c>
      <c r="BO257" s="184" t="str">
        <f t="shared" si="735"/>
        <v/>
      </c>
      <c r="BP257" s="184" t="str">
        <f t="shared" si="736"/>
        <v/>
      </c>
      <c r="BQ257" s="184" t="str">
        <f t="shared" si="737"/>
        <v/>
      </c>
      <c r="BR257" s="184" t="str">
        <f t="shared" si="738"/>
        <v/>
      </c>
      <c r="BS257" s="184" t="str">
        <f t="shared" si="738"/>
        <v/>
      </c>
      <c r="BT257" s="184" t="str">
        <f t="shared" si="738"/>
        <v/>
      </c>
      <c r="BU257" s="184" t="str">
        <f t="shared" si="739"/>
        <v/>
      </c>
      <c r="BV257" s="184" t="str">
        <f t="shared" si="740"/>
        <v/>
      </c>
      <c r="BW257" s="184" t="str">
        <f t="shared" si="741"/>
        <v/>
      </c>
      <c r="BX257" s="184" t="str">
        <f t="shared" si="742"/>
        <v/>
      </c>
      <c r="BY257" s="184" t="str">
        <f t="shared" si="743"/>
        <v/>
      </c>
      <c r="BZ257" s="184" t="str">
        <f t="shared" si="744"/>
        <v/>
      </c>
      <c r="CA257" s="184" t="str">
        <f t="shared" si="745"/>
        <v/>
      </c>
      <c r="CB257" s="184" t="str">
        <f t="shared" si="746"/>
        <v/>
      </c>
      <c r="CC257" s="184" t="str">
        <f t="shared" si="747"/>
        <v/>
      </c>
      <c r="CD257" s="184" t="str">
        <f t="shared" si="748"/>
        <v/>
      </c>
      <c r="CE257" s="184" t="str">
        <f t="shared" si="749"/>
        <v/>
      </c>
      <c r="CF257" s="184" t="str">
        <f t="shared" si="750"/>
        <v/>
      </c>
      <c r="CG257" s="184" t="str">
        <f t="shared" si="751"/>
        <v/>
      </c>
      <c r="CH257" s="184" t="str">
        <f t="shared" si="752"/>
        <v/>
      </c>
      <c r="CI257" s="184" t="str">
        <f t="shared" si="753"/>
        <v/>
      </c>
      <c r="CJ257" s="184" t="str">
        <f t="shared" si="754"/>
        <v/>
      </c>
      <c r="CK257" s="184"/>
      <c r="CM257" s="184"/>
      <c r="CN257"/>
      <c r="CP257"/>
      <c r="CR257"/>
      <c r="CT257"/>
      <c r="CV257"/>
      <c r="CX257"/>
      <c r="CZ257"/>
      <c r="DB257"/>
      <c r="DD257"/>
      <c r="DF257"/>
      <c r="ED257" s="184"/>
      <c r="EF257" s="184"/>
      <c r="EH257" s="184"/>
      <c r="EJ257" s="184"/>
      <c r="EL257" s="184"/>
      <c r="EN257" s="184"/>
      <c r="EP257" s="184"/>
      <c r="ER257" s="184"/>
      <c r="ET257" s="184"/>
      <c r="EV257" s="184"/>
      <c r="EX257" s="184"/>
      <c r="EZ257" s="184"/>
      <c r="FB257" s="184"/>
    </row>
    <row r="258" spans="1:158">
      <c r="A258" s="184">
        <f t="shared" si="653"/>
        <v>59</v>
      </c>
      <c r="B258" s="18">
        <f t="shared" si="678"/>
        <v>11740</v>
      </c>
      <c r="C258" s="18">
        <f t="shared" si="755"/>
        <v>14520.000000000407</v>
      </c>
      <c r="D258" s="18">
        <f t="shared" si="756"/>
        <v>19220.000000000058</v>
      </c>
      <c r="E258" s="18">
        <f t="shared" si="691"/>
        <v>23299.999999999709</v>
      </c>
      <c r="F258" s="18">
        <f t="shared" si="692"/>
        <v>11839.999999999854</v>
      </c>
      <c r="G258" s="18">
        <f t="shared" si="693"/>
        <v>14659.999999999593</v>
      </c>
      <c r="H258" s="18">
        <f t="shared" si="694"/>
        <v>19200</v>
      </c>
      <c r="I258" s="18">
        <f t="shared" si="695"/>
        <v>11760.000000000189</v>
      </c>
      <c r="J258" s="18">
        <f t="shared" si="696"/>
        <v>15519.999999999593</v>
      </c>
      <c r="K258" s="18">
        <f t="shared" si="697"/>
        <v>19340.000000000146</v>
      </c>
      <c r="L258" s="18">
        <f t="shared" si="698"/>
        <v>23239.999999999622</v>
      </c>
      <c r="M258" s="18">
        <f t="shared" si="699"/>
        <v>29920.000000000815</v>
      </c>
      <c r="N258" s="18">
        <f t="shared" si="700"/>
        <v>14760</v>
      </c>
      <c r="O258" s="18">
        <f t="shared" si="701"/>
        <v>19320.000000000058</v>
      </c>
      <c r="P258" s="18">
        <f t="shared" si="702"/>
        <v>21800</v>
      </c>
      <c r="Q258" s="18">
        <f t="shared" si="703"/>
        <v>26360.000000000815</v>
      </c>
      <c r="R258" s="18">
        <f t="shared" si="704"/>
        <v>39360</v>
      </c>
      <c r="S258" s="18">
        <f t="shared" si="705"/>
        <v>23300.00000000064</v>
      </c>
      <c r="T258" s="18">
        <f t="shared" si="706"/>
        <v>26369.999999999185</v>
      </c>
      <c r="U258" s="18">
        <f t="shared" si="707"/>
        <v>30052.879999999743</v>
      </c>
      <c r="V258" s="18">
        <f t="shared" si="708"/>
        <v>38116.799999998882</v>
      </c>
      <c r="W258" s="18">
        <f t="shared" si="709"/>
        <v>47857.75999999803</v>
      </c>
      <c r="X258" s="18">
        <f t="shared" si="710"/>
        <v>58309.200000001118</v>
      </c>
      <c r="Y258" s="18">
        <f t="shared" si="711"/>
        <v>56199.99999999837</v>
      </c>
      <c r="Z258" s="18">
        <f t="shared" si="710"/>
        <v>46751.999999998719</v>
      </c>
      <c r="AA258" s="18">
        <f t="shared" ref="AA258:AB258" si="783">AA257+(AA$234-AA$233)/2</f>
        <v>54624.00000000163</v>
      </c>
      <c r="AB258" s="18">
        <f t="shared" si="783"/>
        <v>69432</v>
      </c>
      <c r="AC258" s="18">
        <f t="shared" si="679"/>
        <v>30800</v>
      </c>
      <c r="AD258" s="18">
        <f t="shared" si="766"/>
        <v>39600</v>
      </c>
      <c r="AE258" s="18">
        <f t="shared" si="767"/>
        <v>46200</v>
      </c>
      <c r="AF258" s="18">
        <f t="shared" si="768"/>
        <v>52800</v>
      </c>
      <c r="AG258" s="18">
        <f t="shared" si="769"/>
        <v>66000</v>
      </c>
      <c r="AH258" s="18">
        <f t="shared" si="769"/>
        <v>41800</v>
      </c>
      <c r="AI258" s="18">
        <f t="shared" si="769"/>
        <v>50160</v>
      </c>
      <c r="AJ258" s="18">
        <f t="shared" si="769"/>
        <v>55000</v>
      </c>
      <c r="AK258" s="18">
        <f t="shared" si="769"/>
        <v>63800</v>
      </c>
      <c r="AL258" s="18">
        <f t="shared" si="770"/>
        <v>48400</v>
      </c>
      <c r="AM258" s="18">
        <f t="shared" si="771"/>
        <v>55000</v>
      </c>
      <c r="AN258" s="18">
        <f t="shared" si="772"/>
        <v>62920</v>
      </c>
      <c r="AO258" s="18">
        <f t="shared" si="773"/>
        <v>99000</v>
      </c>
      <c r="AP258" s="18">
        <f t="shared" si="774"/>
        <v>105600</v>
      </c>
      <c r="AQ258" s="18">
        <f t="shared" si="775"/>
        <v>118800</v>
      </c>
      <c r="AR258" s="18">
        <f t="shared" si="776"/>
        <v>323840</v>
      </c>
      <c r="AS258" s="18">
        <f t="shared" si="690"/>
        <v>652.17391304347825</v>
      </c>
      <c r="AT258" s="184" t="str">
        <f t="shared" si="714"/>
        <v/>
      </c>
      <c r="AU258" s="184" t="str">
        <f t="shared" si="715"/>
        <v/>
      </c>
      <c r="AV258" s="184" t="str">
        <f t="shared" si="716"/>
        <v/>
      </c>
      <c r="AW258" s="184" t="str">
        <f t="shared" si="717"/>
        <v/>
      </c>
      <c r="AX258" s="184" t="str">
        <f t="shared" si="718"/>
        <v/>
      </c>
      <c r="AY258" s="184" t="str">
        <f t="shared" si="719"/>
        <v/>
      </c>
      <c r="AZ258" s="184" t="str">
        <f t="shared" si="720"/>
        <v/>
      </c>
      <c r="BA258" s="184" t="str">
        <f t="shared" si="721"/>
        <v/>
      </c>
      <c r="BB258" s="184" t="str">
        <f t="shared" si="722"/>
        <v/>
      </c>
      <c r="BC258" s="184" t="str">
        <f t="shared" si="723"/>
        <v/>
      </c>
      <c r="BD258" s="184" t="str">
        <f t="shared" si="724"/>
        <v/>
      </c>
      <c r="BE258" s="184" t="str">
        <f t="shared" si="725"/>
        <v/>
      </c>
      <c r="BF258" s="184" t="str">
        <f t="shared" si="726"/>
        <v/>
      </c>
      <c r="BG258" s="184" t="str">
        <f t="shared" si="727"/>
        <v/>
      </c>
      <c r="BH258" s="184" t="str">
        <f t="shared" si="728"/>
        <v/>
      </c>
      <c r="BI258" s="184" t="str">
        <f t="shared" si="729"/>
        <v/>
      </c>
      <c r="BJ258" s="184" t="str">
        <f t="shared" si="730"/>
        <v/>
      </c>
      <c r="BK258" s="184" t="str">
        <f t="shared" si="731"/>
        <v/>
      </c>
      <c r="BL258" s="184" t="str">
        <f t="shared" si="732"/>
        <v/>
      </c>
      <c r="BM258" s="184" t="str">
        <f t="shared" si="733"/>
        <v/>
      </c>
      <c r="BN258" s="184" t="str">
        <f t="shared" si="734"/>
        <v/>
      </c>
      <c r="BO258" s="184" t="str">
        <f t="shared" si="735"/>
        <v/>
      </c>
      <c r="BP258" s="184" t="str">
        <f t="shared" si="736"/>
        <v/>
      </c>
      <c r="BQ258" s="184" t="str">
        <f t="shared" si="737"/>
        <v/>
      </c>
      <c r="BR258" s="184" t="str">
        <f t="shared" si="738"/>
        <v/>
      </c>
      <c r="BS258" s="184" t="str">
        <f t="shared" si="738"/>
        <v/>
      </c>
      <c r="BT258" s="184" t="str">
        <f t="shared" si="738"/>
        <v/>
      </c>
      <c r="BU258" s="184" t="str">
        <f t="shared" si="739"/>
        <v/>
      </c>
      <c r="BV258" s="184" t="str">
        <f t="shared" si="740"/>
        <v/>
      </c>
      <c r="BW258" s="184" t="str">
        <f t="shared" si="741"/>
        <v/>
      </c>
      <c r="BX258" s="184" t="str">
        <f t="shared" si="742"/>
        <v/>
      </c>
      <c r="BY258" s="184" t="str">
        <f t="shared" si="743"/>
        <v/>
      </c>
      <c r="BZ258" s="184" t="str">
        <f t="shared" si="744"/>
        <v/>
      </c>
      <c r="CA258" s="184" t="str">
        <f t="shared" si="745"/>
        <v/>
      </c>
      <c r="CB258" s="184" t="str">
        <f t="shared" si="746"/>
        <v/>
      </c>
      <c r="CC258" s="184" t="str">
        <f t="shared" si="747"/>
        <v/>
      </c>
      <c r="CD258" s="184" t="str">
        <f t="shared" si="748"/>
        <v/>
      </c>
      <c r="CE258" s="184" t="str">
        <f t="shared" si="749"/>
        <v/>
      </c>
      <c r="CF258" s="184" t="str">
        <f t="shared" si="750"/>
        <v/>
      </c>
      <c r="CG258" s="184" t="str">
        <f t="shared" si="751"/>
        <v/>
      </c>
      <c r="CH258" s="184" t="str">
        <f t="shared" si="752"/>
        <v/>
      </c>
      <c r="CI258" s="184" t="str">
        <f t="shared" si="753"/>
        <v/>
      </c>
      <c r="CJ258" s="184" t="str">
        <f t="shared" si="754"/>
        <v/>
      </c>
      <c r="CK258" s="184"/>
      <c r="CM258" s="184"/>
      <c r="CN258"/>
      <c r="CP258"/>
      <c r="CR258"/>
      <c r="CT258"/>
      <c r="CV258"/>
      <c r="CX258"/>
      <c r="CZ258"/>
      <c r="DB258"/>
      <c r="DD258"/>
      <c r="DF258"/>
      <c r="ED258" s="184"/>
      <c r="EF258" s="184"/>
      <c r="EH258" s="184"/>
      <c r="EJ258" s="184"/>
      <c r="EL258" s="184"/>
      <c r="EN258" s="184"/>
      <c r="EP258" s="184"/>
      <c r="ER258" s="184"/>
      <c r="ET258" s="184"/>
      <c r="EV258" s="184"/>
      <c r="EX258" s="184"/>
      <c r="EZ258" s="184"/>
      <c r="FB258" s="184"/>
    </row>
    <row r="259" spans="1:158">
      <c r="A259" s="184">
        <f t="shared" ref="A259:A282" si="784">A258+0.5</f>
        <v>59.5</v>
      </c>
      <c r="B259" s="18">
        <f t="shared" si="678"/>
        <v>11775</v>
      </c>
      <c r="C259" s="18">
        <f t="shared" si="755"/>
        <v>14558.333333333758</v>
      </c>
      <c r="D259" s="18">
        <f t="shared" si="756"/>
        <v>19270.833333333394</v>
      </c>
      <c r="E259" s="18">
        <f t="shared" si="691"/>
        <v>23370.83333333303</v>
      </c>
      <c r="F259" s="18">
        <f t="shared" si="692"/>
        <v>11879.166666666515</v>
      </c>
      <c r="G259" s="18">
        <f t="shared" si="693"/>
        <v>14704.166666666242</v>
      </c>
      <c r="H259" s="18">
        <f t="shared" si="694"/>
        <v>19250</v>
      </c>
      <c r="I259" s="18">
        <f t="shared" si="695"/>
        <v>11795.83333333353</v>
      </c>
      <c r="J259" s="18">
        <f t="shared" si="696"/>
        <v>15566.666666666242</v>
      </c>
      <c r="K259" s="18">
        <f t="shared" si="697"/>
        <v>19395.833333333485</v>
      </c>
      <c r="L259" s="18">
        <f t="shared" si="698"/>
        <v>23308.333333332939</v>
      </c>
      <c r="M259" s="18">
        <f t="shared" si="699"/>
        <v>30016.666666667516</v>
      </c>
      <c r="N259" s="18">
        <f t="shared" si="700"/>
        <v>14787.5</v>
      </c>
      <c r="O259" s="18">
        <f t="shared" si="701"/>
        <v>19370.833333333394</v>
      </c>
      <c r="P259" s="18">
        <f t="shared" si="702"/>
        <v>21837.5</v>
      </c>
      <c r="Q259" s="18">
        <f t="shared" si="703"/>
        <v>26416.666666667516</v>
      </c>
      <c r="R259" s="18">
        <f t="shared" si="704"/>
        <v>39462.5</v>
      </c>
      <c r="S259" s="18">
        <f t="shared" si="705"/>
        <v>23354.166666667334</v>
      </c>
      <c r="T259" s="18">
        <f t="shared" si="706"/>
        <v>26427.083333332484</v>
      </c>
      <c r="U259" s="18">
        <f t="shared" si="707"/>
        <v>30113.416666666399</v>
      </c>
      <c r="V259" s="18">
        <f t="shared" si="708"/>
        <v>38204.999999998836</v>
      </c>
      <c r="W259" s="18">
        <f t="shared" si="709"/>
        <v>47968.499999997948</v>
      </c>
      <c r="X259" s="18">
        <f t="shared" si="710"/>
        <v>58488.750000001164</v>
      </c>
      <c r="Y259" s="18">
        <f t="shared" si="711"/>
        <v>56291.666666664969</v>
      </c>
      <c r="Z259" s="18">
        <f t="shared" si="710"/>
        <v>46866.666666665333</v>
      </c>
      <c r="AA259" s="18">
        <f t="shared" ref="AA259:AB259" si="785">AA258+(AA$234-AA$233)/2</f>
        <v>54733.333333335031</v>
      </c>
      <c r="AB259" s="18">
        <f t="shared" si="785"/>
        <v>69575</v>
      </c>
      <c r="AC259" s="18">
        <f t="shared" si="679"/>
        <v>31500</v>
      </c>
      <c r="AD259" s="18">
        <f t="shared" si="766"/>
        <v>40500</v>
      </c>
      <c r="AE259" s="18">
        <f t="shared" si="767"/>
        <v>47250</v>
      </c>
      <c r="AF259" s="18">
        <f t="shared" si="768"/>
        <v>54000</v>
      </c>
      <c r="AG259" s="18">
        <f t="shared" si="769"/>
        <v>67500</v>
      </c>
      <c r="AH259" s="18">
        <f t="shared" si="769"/>
        <v>42750</v>
      </c>
      <c r="AI259" s="18">
        <f t="shared" si="769"/>
        <v>51300</v>
      </c>
      <c r="AJ259" s="18">
        <f t="shared" si="769"/>
        <v>56250</v>
      </c>
      <c r="AK259" s="18">
        <f t="shared" si="769"/>
        <v>65250</v>
      </c>
      <c r="AL259" s="18">
        <f t="shared" si="770"/>
        <v>49500</v>
      </c>
      <c r="AM259" s="18">
        <f t="shared" si="771"/>
        <v>56250</v>
      </c>
      <c r="AN259" s="18">
        <f t="shared" si="772"/>
        <v>64350</v>
      </c>
      <c r="AO259" s="18">
        <f t="shared" si="773"/>
        <v>101250</v>
      </c>
      <c r="AP259" s="18">
        <f t="shared" si="774"/>
        <v>108000</v>
      </c>
      <c r="AQ259" s="18">
        <f t="shared" si="775"/>
        <v>121500</v>
      </c>
      <c r="AR259" s="18">
        <f t="shared" si="776"/>
        <v>331200</v>
      </c>
      <c r="AS259" s="18">
        <f t="shared" si="690"/>
        <v>326.08695652173913</v>
      </c>
      <c r="AT259" s="184" t="str">
        <f t="shared" si="714"/>
        <v/>
      </c>
      <c r="AU259" s="184" t="str">
        <f t="shared" si="715"/>
        <v/>
      </c>
      <c r="AV259" s="184" t="str">
        <f t="shared" si="716"/>
        <v/>
      </c>
      <c r="AW259" s="184" t="str">
        <f t="shared" si="717"/>
        <v/>
      </c>
      <c r="AX259" s="184" t="str">
        <f t="shared" si="718"/>
        <v/>
      </c>
      <c r="AY259" s="184" t="str">
        <f t="shared" si="719"/>
        <v/>
      </c>
      <c r="AZ259" s="184" t="str">
        <f t="shared" si="720"/>
        <v/>
      </c>
      <c r="BA259" s="184" t="str">
        <f t="shared" si="721"/>
        <v/>
      </c>
      <c r="BB259" s="184" t="str">
        <f t="shared" si="722"/>
        <v/>
      </c>
      <c r="BC259" s="184" t="str">
        <f t="shared" si="723"/>
        <v/>
      </c>
      <c r="BD259" s="184" t="str">
        <f t="shared" si="724"/>
        <v/>
      </c>
      <c r="BE259" s="184" t="str">
        <f t="shared" si="725"/>
        <v/>
      </c>
      <c r="BF259" s="184" t="str">
        <f t="shared" si="726"/>
        <v/>
      </c>
      <c r="BG259" s="184" t="str">
        <f t="shared" si="727"/>
        <v/>
      </c>
      <c r="BH259" s="184" t="str">
        <f t="shared" si="728"/>
        <v/>
      </c>
      <c r="BI259" s="184" t="str">
        <f t="shared" si="729"/>
        <v/>
      </c>
      <c r="BJ259" s="184" t="str">
        <f t="shared" si="730"/>
        <v/>
      </c>
      <c r="BK259" s="184" t="str">
        <f t="shared" si="731"/>
        <v/>
      </c>
      <c r="BL259" s="184" t="str">
        <f t="shared" si="732"/>
        <v/>
      </c>
      <c r="BM259" s="184" t="str">
        <f t="shared" si="733"/>
        <v/>
      </c>
      <c r="BN259" s="184" t="str">
        <f t="shared" si="734"/>
        <v/>
      </c>
      <c r="BO259" s="184" t="str">
        <f t="shared" si="735"/>
        <v/>
      </c>
      <c r="BP259" s="184" t="str">
        <f t="shared" si="736"/>
        <v/>
      </c>
      <c r="BQ259" s="184" t="str">
        <f t="shared" si="737"/>
        <v/>
      </c>
      <c r="BR259" s="184" t="str">
        <f t="shared" si="738"/>
        <v/>
      </c>
      <c r="BS259" s="184" t="str">
        <f t="shared" si="738"/>
        <v/>
      </c>
      <c r="BT259" s="184" t="str">
        <f t="shared" si="738"/>
        <v/>
      </c>
      <c r="BU259" s="184" t="str">
        <f t="shared" si="739"/>
        <v/>
      </c>
      <c r="BV259" s="184" t="str">
        <f t="shared" si="740"/>
        <v/>
      </c>
      <c r="BW259" s="184" t="str">
        <f t="shared" si="741"/>
        <v/>
      </c>
      <c r="BX259" s="184" t="str">
        <f t="shared" si="742"/>
        <v/>
      </c>
      <c r="BY259" s="184" t="str">
        <f t="shared" si="743"/>
        <v/>
      </c>
      <c r="BZ259" s="184" t="str">
        <f t="shared" si="744"/>
        <v/>
      </c>
      <c r="CA259" s="184" t="str">
        <f t="shared" si="745"/>
        <v/>
      </c>
      <c r="CB259" s="184" t="str">
        <f t="shared" si="746"/>
        <v/>
      </c>
      <c r="CC259" s="184" t="str">
        <f t="shared" si="747"/>
        <v/>
      </c>
      <c r="CD259" s="184" t="str">
        <f t="shared" si="748"/>
        <v/>
      </c>
      <c r="CE259" s="184" t="str">
        <f t="shared" si="749"/>
        <v/>
      </c>
      <c r="CF259" s="184" t="str">
        <f t="shared" si="750"/>
        <v/>
      </c>
      <c r="CG259" s="184" t="str">
        <f t="shared" si="751"/>
        <v/>
      </c>
      <c r="CH259" s="184" t="str">
        <f t="shared" si="752"/>
        <v/>
      </c>
      <c r="CI259" s="184" t="str">
        <f t="shared" si="753"/>
        <v/>
      </c>
      <c r="CJ259" s="184" t="str">
        <f t="shared" si="754"/>
        <v/>
      </c>
      <c r="CK259" s="184"/>
      <c r="CM259" s="184"/>
      <c r="CN259"/>
      <c r="CP259"/>
      <c r="CR259"/>
      <c r="CT259"/>
      <c r="CV259"/>
      <c r="CX259"/>
      <c r="CZ259"/>
      <c r="DB259"/>
      <c r="DD259"/>
      <c r="DF259"/>
      <c r="ED259" s="184"/>
      <c r="EF259" s="184"/>
      <c r="EH259" s="184"/>
      <c r="EJ259" s="184"/>
      <c r="EL259" s="184"/>
      <c r="EN259" s="184"/>
      <c r="EP259" s="184"/>
      <c r="ER259" s="184"/>
      <c r="ET259" s="184"/>
      <c r="EV259" s="184"/>
      <c r="EX259" s="184"/>
      <c r="EZ259" s="184"/>
      <c r="FB259" s="184"/>
    </row>
    <row r="260" spans="1:158">
      <c r="A260" s="184">
        <f t="shared" si="784"/>
        <v>60</v>
      </c>
      <c r="B260" s="18">
        <f t="shared" si="678"/>
        <v>11810</v>
      </c>
      <c r="C260" s="18">
        <f t="shared" si="755"/>
        <v>14596.666666667108</v>
      </c>
      <c r="D260" s="18">
        <f t="shared" si="756"/>
        <v>19321.66666666673</v>
      </c>
      <c r="E260" s="18">
        <f t="shared" si="691"/>
        <v>23441.666666666351</v>
      </c>
      <c r="F260" s="18">
        <f t="shared" si="692"/>
        <v>11918.333333333176</v>
      </c>
      <c r="G260" s="18">
        <f t="shared" si="693"/>
        <v>14748.333333332892</v>
      </c>
      <c r="H260" s="18">
        <f t="shared" si="694"/>
        <v>19300</v>
      </c>
      <c r="I260" s="18">
        <f t="shared" si="695"/>
        <v>11831.666666666872</v>
      </c>
      <c r="J260" s="18">
        <f t="shared" si="696"/>
        <v>15613.333333332892</v>
      </c>
      <c r="K260" s="18">
        <f t="shared" si="697"/>
        <v>19451.666666666824</v>
      </c>
      <c r="L260" s="18">
        <f t="shared" si="698"/>
        <v>23376.666666666257</v>
      </c>
      <c r="M260" s="18">
        <f t="shared" si="699"/>
        <v>30113.333333334216</v>
      </c>
      <c r="N260" s="18">
        <f t="shared" si="700"/>
        <v>14815</v>
      </c>
      <c r="O260" s="18">
        <f t="shared" si="701"/>
        <v>19421.66666666673</v>
      </c>
      <c r="P260" s="18">
        <f t="shared" si="702"/>
        <v>21875</v>
      </c>
      <c r="Q260" s="18">
        <f t="shared" si="703"/>
        <v>26473.333333334216</v>
      </c>
      <c r="R260" s="18">
        <f t="shared" si="704"/>
        <v>39565</v>
      </c>
      <c r="S260" s="18">
        <f t="shared" si="705"/>
        <v>23408.333333334027</v>
      </c>
      <c r="T260" s="18">
        <f t="shared" si="706"/>
        <v>26484.166666665784</v>
      </c>
      <c r="U260" s="18">
        <f t="shared" si="707"/>
        <v>30173.953333333055</v>
      </c>
      <c r="V260" s="18">
        <f t="shared" si="708"/>
        <v>38293.199999998789</v>
      </c>
      <c r="W260" s="18">
        <f t="shared" si="709"/>
        <v>48079.239999997866</v>
      </c>
      <c r="X260" s="18">
        <f t="shared" si="710"/>
        <v>58668.300000001211</v>
      </c>
      <c r="Y260" s="18">
        <f t="shared" si="711"/>
        <v>56383.333333331568</v>
      </c>
      <c r="Z260" s="18">
        <f t="shared" si="710"/>
        <v>46981.333333331946</v>
      </c>
      <c r="AA260" s="18">
        <f t="shared" ref="AA260:AB260" si="786">AA259+(AA$234-AA$233)/2</f>
        <v>54842.666666668432</v>
      </c>
      <c r="AB260" s="18">
        <f t="shared" si="786"/>
        <v>69718</v>
      </c>
      <c r="AC260" s="18">
        <f t="shared" si="679"/>
        <v>32200</v>
      </c>
      <c r="AD260" s="18">
        <f t="shared" si="766"/>
        <v>41400</v>
      </c>
      <c r="AE260" s="18">
        <f t="shared" si="767"/>
        <v>48300</v>
      </c>
      <c r="AF260" s="18">
        <f t="shared" si="768"/>
        <v>55200</v>
      </c>
      <c r="AG260" s="18">
        <f t="shared" si="769"/>
        <v>69000</v>
      </c>
      <c r="AH260" s="18">
        <f t="shared" si="769"/>
        <v>43700</v>
      </c>
      <c r="AI260" s="18">
        <f t="shared" si="769"/>
        <v>52440</v>
      </c>
      <c r="AJ260" s="18">
        <f t="shared" si="769"/>
        <v>57500</v>
      </c>
      <c r="AK260" s="18">
        <f t="shared" si="769"/>
        <v>66700</v>
      </c>
      <c r="AL260" s="18">
        <f t="shared" si="770"/>
        <v>50600</v>
      </c>
      <c r="AM260" s="18">
        <f t="shared" si="771"/>
        <v>57500</v>
      </c>
      <c r="AN260" s="18">
        <f t="shared" si="772"/>
        <v>65780</v>
      </c>
      <c r="AO260" s="18">
        <f t="shared" si="773"/>
        <v>103500</v>
      </c>
      <c r="AP260" s="18">
        <f t="shared" si="774"/>
        <v>110400</v>
      </c>
      <c r="AQ260" s="18">
        <f t="shared" si="775"/>
        <v>124200</v>
      </c>
      <c r="AR260" s="18">
        <f t="shared" si="776"/>
        <v>338560</v>
      </c>
      <c r="AS260" s="18">
        <f t="shared" si="690"/>
        <v>0</v>
      </c>
      <c r="AT260" s="184" t="str">
        <f t="shared" si="714"/>
        <v/>
      </c>
      <c r="AU260" s="184" t="str">
        <f t="shared" si="715"/>
        <v/>
      </c>
      <c r="AV260" s="184" t="str">
        <f t="shared" si="716"/>
        <v/>
      </c>
      <c r="AW260" s="184" t="str">
        <f t="shared" si="717"/>
        <v/>
      </c>
      <c r="AX260" s="184" t="str">
        <f t="shared" si="718"/>
        <v/>
      </c>
      <c r="AY260" s="184" t="str">
        <f t="shared" si="719"/>
        <v/>
      </c>
      <c r="AZ260" s="184" t="str">
        <f t="shared" si="720"/>
        <v/>
      </c>
      <c r="BA260" s="184" t="str">
        <f t="shared" si="721"/>
        <v/>
      </c>
      <c r="BB260" s="184" t="str">
        <f t="shared" si="722"/>
        <v/>
      </c>
      <c r="BC260" s="184" t="str">
        <f t="shared" si="723"/>
        <v/>
      </c>
      <c r="BD260" s="184" t="str">
        <f t="shared" si="724"/>
        <v/>
      </c>
      <c r="BE260" s="184" t="str">
        <f t="shared" si="725"/>
        <v/>
      </c>
      <c r="BF260" s="184" t="str">
        <f t="shared" si="726"/>
        <v/>
      </c>
      <c r="BG260" s="184" t="str">
        <f t="shared" si="727"/>
        <v/>
      </c>
      <c r="BH260" s="184" t="str">
        <f t="shared" si="728"/>
        <v/>
      </c>
      <c r="BI260" s="184" t="str">
        <f t="shared" si="729"/>
        <v/>
      </c>
      <c r="BJ260" s="184" t="str">
        <f t="shared" si="730"/>
        <v/>
      </c>
      <c r="BK260" s="184" t="str">
        <f t="shared" si="731"/>
        <v/>
      </c>
      <c r="BL260" s="184" t="str">
        <f t="shared" si="732"/>
        <v/>
      </c>
      <c r="BM260" s="184" t="str">
        <f t="shared" si="733"/>
        <v/>
      </c>
      <c r="BN260" s="184" t="str">
        <f t="shared" si="734"/>
        <v/>
      </c>
      <c r="BO260" s="184" t="str">
        <f t="shared" si="735"/>
        <v/>
      </c>
      <c r="BP260" s="184" t="str">
        <f t="shared" si="736"/>
        <v/>
      </c>
      <c r="BQ260" s="184" t="str">
        <f t="shared" si="737"/>
        <v/>
      </c>
      <c r="BR260" s="184" t="str">
        <f t="shared" si="738"/>
        <v/>
      </c>
      <c r="BS260" s="184" t="str">
        <f t="shared" si="738"/>
        <v/>
      </c>
      <c r="BT260" s="184" t="str">
        <f t="shared" si="738"/>
        <v/>
      </c>
      <c r="BU260" s="184" t="str">
        <f t="shared" si="739"/>
        <v/>
      </c>
      <c r="BV260" s="184" t="str">
        <f t="shared" si="740"/>
        <v/>
      </c>
      <c r="BW260" s="184" t="str">
        <f t="shared" si="741"/>
        <v/>
      </c>
      <c r="BX260" s="184" t="str">
        <f t="shared" si="742"/>
        <v/>
      </c>
      <c r="BY260" s="184" t="str">
        <f t="shared" si="743"/>
        <v/>
      </c>
      <c r="BZ260" s="184" t="str">
        <f t="shared" si="744"/>
        <v/>
      </c>
      <c r="CA260" s="184" t="str">
        <f t="shared" si="745"/>
        <v/>
      </c>
      <c r="CB260" s="184" t="str">
        <f t="shared" si="746"/>
        <v/>
      </c>
      <c r="CC260" s="184" t="str">
        <f t="shared" si="747"/>
        <v/>
      </c>
      <c r="CD260" s="184" t="str">
        <f t="shared" si="748"/>
        <v/>
      </c>
      <c r="CE260" s="184" t="str">
        <f t="shared" si="749"/>
        <v/>
      </c>
      <c r="CF260" s="184" t="str">
        <f t="shared" si="750"/>
        <v/>
      </c>
      <c r="CG260" s="184" t="str">
        <f t="shared" si="751"/>
        <v/>
      </c>
      <c r="CH260" s="184" t="str">
        <f t="shared" si="752"/>
        <v/>
      </c>
      <c r="CI260" s="184" t="str">
        <f t="shared" si="753"/>
        <v/>
      </c>
      <c r="CJ260" s="184" t="str">
        <f t="shared" si="754"/>
        <v/>
      </c>
      <c r="CK260" s="184"/>
      <c r="CM260" s="184"/>
      <c r="CN260"/>
      <c r="CP260"/>
      <c r="CR260"/>
      <c r="CT260"/>
      <c r="CV260"/>
      <c r="CX260"/>
      <c r="CZ260"/>
      <c r="DB260"/>
      <c r="DD260"/>
      <c r="DF260"/>
      <c r="ED260" s="184"/>
      <c r="EF260" s="184"/>
      <c r="EH260" s="184"/>
      <c r="EJ260" s="184"/>
      <c r="EL260" s="184"/>
      <c r="EN260" s="184"/>
      <c r="EP260" s="184"/>
      <c r="ER260" s="184"/>
      <c r="ET260" s="184"/>
      <c r="EV260" s="184"/>
      <c r="EX260" s="184"/>
      <c r="EZ260" s="184"/>
      <c r="FB260" s="184"/>
    </row>
    <row r="261" spans="1:158">
      <c r="A261" s="184">
        <f t="shared" si="784"/>
        <v>60.5</v>
      </c>
      <c r="B261" s="18">
        <f t="shared" si="678"/>
        <v>11845</v>
      </c>
      <c r="C261" s="18">
        <f t="shared" si="755"/>
        <v>14635.000000000458</v>
      </c>
      <c r="D261" s="18">
        <f t="shared" si="756"/>
        <v>19372.500000000065</v>
      </c>
      <c r="E261" s="18">
        <f t="shared" si="691"/>
        <v>23512.499999999673</v>
      </c>
      <c r="F261" s="18">
        <f t="shared" si="692"/>
        <v>11957.499999999836</v>
      </c>
      <c r="G261" s="18">
        <f t="shared" si="693"/>
        <v>14792.499999999542</v>
      </c>
      <c r="H261" s="18">
        <f t="shared" si="694"/>
        <v>19350</v>
      </c>
      <c r="I261" s="18">
        <f t="shared" si="695"/>
        <v>11867.500000000213</v>
      </c>
      <c r="J261" s="18">
        <f t="shared" si="696"/>
        <v>15659.999999999542</v>
      </c>
      <c r="K261" s="18">
        <f t="shared" si="697"/>
        <v>19507.500000000164</v>
      </c>
      <c r="L261" s="18">
        <f t="shared" si="698"/>
        <v>23444.999999999574</v>
      </c>
      <c r="M261" s="18">
        <f t="shared" si="699"/>
        <v>30210.000000000917</v>
      </c>
      <c r="N261" s="18">
        <f t="shared" si="700"/>
        <v>14842.5</v>
      </c>
      <c r="O261" s="18">
        <f t="shared" si="701"/>
        <v>19472.500000000065</v>
      </c>
      <c r="P261" s="18">
        <f t="shared" si="702"/>
        <v>21912.5</v>
      </c>
      <c r="Q261" s="18">
        <f t="shared" si="703"/>
        <v>26530.000000000917</v>
      </c>
      <c r="R261" s="18">
        <f t="shared" si="704"/>
        <v>39667.5</v>
      </c>
      <c r="S261" s="18">
        <f t="shared" si="705"/>
        <v>23462.50000000072</v>
      </c>
      <c r="T261" s="18">
        <f t="shared" si="706"/>
        <v>26541.249999999083</v>
      </c>
      <c r="U261" s="18">
        <f t="shared" si="707"/>
        <v>30234.489999999711</v>
      </c>
      <c r="V261" s="18">
        <f t="shared" si="708"/>
        <v>38381.399999998743</v>
      </c>
      <c r="W261" s="18">
        <f t="shared" si="709"/>
        <v>48189.979999997784</v>
      </c>
      <c r="X261" s="18">
        <f t="shared" si="710"/>
        <v>58847.850000001257</v>
      </c>
      <c r="Y261" s="18">
        <f t="shared" si="711"/>
        <v>56474.999999998166</v>
      </c>
      <c r="Z261" s="18">
        <f t="shared" si="710"/>
        <v>47095.999999998559</v>
      </c>
      <c r="AA261" s="18">
        <f t="shared" ref="AA261:AB261" si="787">AA260+(AA$234-AA$233)/2</f>
        <v>54952.000000001834</v>
      </c>
      <c r="AB261" s="18">
        <f t="shared" si="787"/>
        <v>69861</v>
      </c>
      <c r="AC261" s="18">
        <f t="shared" si="679"/>
        <v>32900</v>
      </c>
      <c r="AD261" s="18">
        <f t="shared" si="766"/>
        <v>42300</v>
      </c>
      <c r="AE261" s="18">
        <f t="shared" si="767"/>
        <v>49350</v>
      </c>
      <c r="AF261" s="18">
        <f t="shared" si="768"/>
        <v>56400</v>
      </c>
      <c r="AG261" s="18">
        <f t="shared" si="769"/>
        <v>70500</v>
      </c>
      <c r="AH261" s="18">
        <f t="shared" si="769"/>
        <v>44650</v>
      </c>
      <c r="AI261" s="18">
        <f t="shared" si="769"/>
        <v>53580</v>
      </c>
      <c r="AJ261" s="18">
        <f t="shared" si="769"/>
        <v>58750</v>
      </c>
      <c r="AK261" s="18">
        <f t="shared" si="769"/>
        <v>68150</v>
      </c>
      <c r="AL261" s="18">
        <f t="shared" si="770"/>
        <v>51700</v>
      </c>
      <c r="AM261" s="18">
        <f t="shared" si="771"/>
        <v>58750</v>
      </c>
      <c r="AN261" s="18">
        <f t="shared" si="772"/>
        <v>67210</v>
      </c>
      <c r="AO261" s="18">
        <f t="shared" si="773"/>
        <v>105750</v>
      </c>
      <c r="AP261" s="18">
        <f t="shared" si="774"/>
        <v>112800</v>
      </c>
      <c r="AQ261" s="18">
        <f t="shared" si="775"/>
        <v>126900</v>
      </c>
      <c r="AR261" s="18">
        <f t="shared" si="776"/>
        <v>345920</v>
      </c>
      <c r="AS261" s="18">
        <f t="shared" si="690"/>
        <v>0</v>
      </c>
      <c r="AT261" s="184" t="str">
        <f t="shared" si="714"/>
        <v/>
      </c>
      <c r="AU261" s="184" t="str">
        <f t="shared" si="715"/>
        <v/>
      </c>
      <c r="AV261" s="184" t="str">
        <f t="shared" si="716"/>
        <v/>
      </c>
      <c r="AW261" s="184" t="str">
        <f t="shared" si="717"/>
        <v/>
      </c>
      <c r="AX261" s="184" t="str">
        <f t="shared" si="718"/>
        <v/>
      </c>
      <c r="AY261" s="184" t="str">
        <f t="shared" si="719"/>
        <v/>
      </c>
      <c r="AZ261" s="184" t="str">
        <f t="shared" si="720"/>
        <v/>
      </c>
      <c r="BA261" s="184" t="str">
        <f t="shared" si="721"/>
        <v/>
      </c>
      <c r="BB261" s="184" t="str">
        <f t="shared" si="722"/>
        <v/>
      </c>
      <c r="BC261" s="184" t="str">
        <f t="shared" si="723"/>
        <v/>
      </c>
      <c r="BD261" s="184" t="str">
        <f t="shared" si="724"/>
        <v/>
      </c>
      <c r="BE261" s="184" t="str">
        <f t="shared" si="725"/>
        <v/>
      </c>
      <c r="BF261" s="184" t="str">
        <f t="shared" si="726"/>
        <v/>
      </c>
      <c r="BG261" s="184" t="str">
        <f t="shared" si="727"/>
        <v/>
      </c>
      <c r="BH261" s="184" t="str">
        <f t="shared" si="728"/>
        <v/>
      </c>
      <c r="BI261" s="184" t="str">
        <f t="shared" si="729"/>
        <v/>
      </c>
      <c r="BJ261" s="184" t="str">
        <f t="shared" si="730"/>
        <v/>
      </c>
      <c r="BK261" s="184" t="str">
        <f t="shared" si="731"/>
        <v/>
      </c>
      <c r="BL261" s="184" t="str">
        <f t="shared" si="732"/>
        <v/>
      </c>
      <c r="BM261" s="184" t="str">
        <f t="shared" si="733"/>
        <v/>
      </c>
      <c r="BN261" s="184" t="str">
        <f t="shared" si="734"/>
        <v/>
      </c>
      <c r="BO261" s="184" t="str">
        <f t="shared" si="735"/>
        <v/>
      </c>
      <c r="BP261" s="184" t="str">
        <f t="shared" si="736"/>
        <v/>
      </c>
      <c r="BQ261" s="184" t="str">
        <f t="shared" si="737"/>
        <v/>
      </c>
      <c r="BR261" s="184" t="str">
        <f t="shared" si="738"/>
        <v/>
      </c>
      <c r="BS261" s="184" t="str">
        <f t="shared" si="738"/>
        <v/>
      </c>
      <c r="BT261" s="184" t="str">
        <f t="shared" si="738"/>
        <v/>
      </c>
      <c r="BU261" s="184" t="str">
        <f t="shared" si="739"/>
        <v/>
      </c>
      <c r="BV261" s="184" t="str">
        <f t="shared" si="740"/>
        <v/>
      </c>
      <c r="BW261" s="184" t="str">
        <f t="shared" si="741"/>
        <v/>
      </c>
      <c r="BX261" s="184" t="str">
        <f t="shared" si="742"/>
        <v/>
      </c>
      <c r="BY261" s="184" t="str">
        <f t="shared" si="743"/>
        <v/>
      </c>
      <c r="BZ261" s="184" t="str">
        <f t="shared" si="744"/>
        <v/>
      </c>
      <c r="CA261" s="184" t="str">
        <f t="shared" si="745"/>
        <v/>
      </c>
      <c r="CB261" s="184" t="str">
        <f t="shared" si="746"/>
        <v/>
      </c>
      <c r="CC261" s="184" t="str">
        <f t="shared" si="747"/>
        <v/>
      </c>
      <c r="CD261" s="184" t="str">
        <f t="shared" si="748"/>
        <v/>
      </c>
      <c r="CE261" s="184" t="str">
        <f t="shared" si="749"/>
        <v/>
      </c>
      <c r="CF261" s="184" t="str">
        <f t="shared" si="750"/>
        <v/>
      </c>
      <c r="CG261" s="184" t="str">
        <f t="shared" si="751"/>
        <v/>
      </c>
      <c r="CH261" s="184" t="str">
        <f t="shared" si="752"/>
        <v/>
      </c>
      <c r="CI261" s="184" t="str">
        <f t="shared" si="753"/>
        <v/>
      </c>
      <c r="CJ261" s="184" t="str">
        <f t="shared" si="754"/>
        <v/>
      </c>
      <c r="CK261" s="184"/>
      <c r="CM261" s="184"/>
      <c r="CN261"/>
      <c r="CP261"/>
      <c r="CR261"/>
      <c r="CT261"/>
      <c r="CV261"/>
      <c r="CX261"/>
      <c r="CZ261"/>
      <c r="DB261"/>
      <c r="DD261"/>
      <c r="DF261"/>
      <c r="ED261" s="184"/>
      <c r="EF261" s="184"/>
      <c r="EH261" s="184"/>
      <c r="EJ261" s="184"/>
      <c r="EL261" s="184"/>
      <c r="EN261" s="184"/>
      <c r="EP261" s="184"/>
      <c r="ER261" s="184"/>
      <c r="ET261" s="184"/>
      <c r="EV261" s="184"/>
      <c r="EX261" s="184"/>
      <c r="EZ261" s="184"/>
      <c r="FB261" s="184"/>
    </row>
    <row r="262" spans="1:158">
      <c r="A262" s="184">
        <f t="shared" si="784"/>
        <v>61</v>
      </c>
      <c r="B262" s="18">
        <f t="shared" si="678"/>
        <v>11880</v>
      </c>
      <c r="C262" s="18">
        <f t="shared" si="755"/>
        <v>14673.333333333809</v>
      </c>
      <c r="D262" s="18">
        <f t="shared" si="756"/>
        <v>19423.333333333401</v>
      </c>
      <c r="E262" s="18">
        <f t="shared" si="691"/>
        <v>23583.333333332994</v>
      </c>
      <c r="F262" s="18">
        <f t="shared" si="692"/>
        <v>11996.666666666497</v>
      </c>
      <c r="G262" s="18">
        <f t="shared" si="693"/>
        <v>14836.666666666191</v>
      </c>
      <c r="H262" s="18">
        <f t="shared" si="694"/>
        <v>19400</v>
      </c>
      <c r="I262" s="18">
        <f t="shared" si="695"/>
        <v>11903.333333333554</v>
      </c>
      <c r="J262" s="18">
        <f t="shared" si="696"/>
        <v>15706.666666666191</v>
      </c>
      <c r="K262" s="18">
        <f t="shared" si="697"/>
        <v>19563.333333333503</v>
      </c>
      <c r="L262" s="18">
        <f t="shared" si="698"/>
        <v>23513.333333332892</v>
      </c>
      <c r="M262" s="18">
        <f t="shared" si="699"/>
        <v>30306.666666667617</v>
      </c>
      <c r="N262" s="18">
        <f t="shared" si="700"/>
        <v>14870</v>
      </c>
      <c r="O262" s="18">
        <f t="shared" si="701"/>
        <v>19523.333333333401</v>
      </c>
      <c r="P262" s="18">
        <f t="shared" si="702"/>
        <v>21950</v>
      </c>
      <c r="Q262" s="18">
        <f t="shared" si="703"/>
        <v>26586.666666667617</v>
      </c>
      <c r="R262" s="18">
        <f t="shared" si="704"/>
        <v>39770</v>
      </c>
      <c r="S262" s="18">
        <f t="shared" si="705"/>
        <v>23516.666666667414</v>
      </c>
      <c r="T262" s="18">
        <f t="shared" si="706"/>
        <v>26598.333333332383</v>
      </c>
      <c r="U262" s="18">
        <f t="shared" si="707"/>
        <v>30295.026666666367</v>
      </c>
      <c r="V262" s="18">
        <f t="shared" si="708"/>
        <v>38469.599999998696</v>
      </c>
      <c r="W262" s="18">
        <f t="shared" si="709"/>
        <v>48300.719999997702</v>
      </c>
      <c r="X262" s="18">
        <f t="shared" si="710"/>
        <v>59027.400000001304</v>
      </c>
      <c r="Y262" s="18">
        <f t="shared" si="711"/>
        <v>56566.666666664765</v>
      </c>
      <c r="Z262" s="18">
        <f t="shared" si="710"/>
        <v>47210.666666665173</v>
      </c>
      <c r="AA262" s="18">
        <f t="shared" ref="AA262:AB262" si="788">AA261+(AA$234-AA$233)/2</f>
        <v>55061.333333335235</v>
      </c>
      <c r="AB262" s="18">
        <f t="shared" si="788"/>
        <v>70004</v>
      </c>
      <c r="AC262" s="18">
        <f t="shared" si="679"/>
        <v>33600</v>
      </c>
      <c r="AD262" s="18">
        <f t="shared" si="766"/>
        <v>43200</v>
      </c>
      <c r="AE262" s="18">
        <f t="shared" si="767"/>
        <v>50400</v>
      </c>
      <c r="AF262" s="18">
        <f t="shared" si="768"/>
        <v>57600</v>
      </c>
      <c r="AG262" s="18">
        <f t="shared" si="769"/>
        <v>72000</v>
      </c>
      <c r="AH262" s="18">
        <f t="shared" si="769"/>
        <v>45600</v>
      </c>
      <c r="AI262" s="18">
        <f t="shared" si="769"/>
        <v>54720</v>
      </c>
      <c r="AJ262" s="18">
        <f t="shared" si="769"/>
        <v>60000</v>
      </c>
      <c r="AK262" s="18">
        <f t="shared" si="769"/>
        <v>69600</v>
      </c>
      <c r="AL262" s="18">
        <f t="shared" si="770"/>
        <v>52800</v>
      </c>
      <c r="AM262" s="18">
        <f t="shared" si="771"/>
        <v>60000</v>
      </c>
      <c r="AN262" s="18">
        <f t="shared" si="772"/>
        <v>68640</v>
      </c>
      <c r="AO262" s="18">
        <f t="shared" si="773"/>
        <v>108000</v>
      </c>
      <c r="AP262" s="18">
        <f t="shared" si="774"/>
        <v>115200</v>
      </c>
      <c r="AQ262" s="18">
        <f t="shared" si="775"/>
        <v>129600</v>
      </c>
      <c r="AR262" s="18">
        <f t="shared" si="776"/>
        <v>353280</v>
      </c>
      <c r="AS262" s="18">
        <f t="shared" si="690"/>
        <v>0</v>
      </c>
      <c r="AT262" s="184" t="str">
        <f t="shared" si="714"/>
        <v/>
      </c>
      <c r="AU262" s="184" t="str">
        <f t="shared" si="715"/>
        <v/>
      </c>
      <c r="AV262" s="184" t="str">
        <f t="shared" si="716"/>
        <v/>
      </c>
      <c r="AW262" s="184" t="str">
        <f t="shared" si="717"/>
        <v/>
      </c>
      <c r="AX262" s="184" t="str">
        <f t="shared" si="718"/>
        <v/>
      </c>
      <c r="AY262" s="184" t="str">
        <f t="shared" si="719"/>
        <v/>
      </c>
      <c r="AZ262" s="184" t="str">
        <f t="shared" si="720"/>
        <v/>
      </c>
      <c r="BA262" s="184" t="str">
        <f t="shared" si="721"/>
        <v/>
      </c>
      <c r="BB262" s="184" t="str">
        <f t="shared" si="722"/>
        <v/>
      </c>
      <c r="BC262" s="184" t="str">
        <f t="shared" si="723"/>
        <v/>
      </c>
      <c r="BD262" s="184" t="str">
        <f t="shared" si="724"/>
        <v/>
      </c>
      <c r="BE262" s="184" t="str">
        <f t="shared" si="725"/>
        <v/>
      </c>
      <c r="BF262" s="184" t="str">
        <f t="shared" si="726"/>
        <v/>
      </c>
      <c r="BG262" s="184" t="str">
        <f t="shared" si="727"/>
        <v/>
      </c>
      <c r="BH262" s="184" t="str">
        <f t="shared" si="728"/>
        <v/>
      </c>
      <c r="BI262" s="184" t="str">
        <f t="shared" si="729"/>
        <v/>
      </c>
      <c r="BJ262" s="184" t="str">
        <f t="shared" si="730"/>
        <v/>
      </c>
      <c r="BK262" s="184" t="str">
        <f t="shared" si="731"/>
        <v/>
      </c>
      <c r="BL262" s="184" t="str">
        <f t="shared" si="732"/>
        <v/>
      </c>
      <c r="BM262" s="184" t="str">
        <f t="shared" si="733"/>
        <v/>
      </c>
      <c r="BN262" s="184" t="str">
        <f t="shared" si="734"/>
        <v/>
      </c>
      <c r="BO262" s="184" t="str">
        <f t="shared" si="735"/>
        <v/>
      </c>
      <c r="BP262" s="184" t="str">
        <f t="shared" si="736"/>
        <v/>
      </c>
      <c r="BQ262" s="184" t="str">
        <f t="shared" si="737"/>
        <v/>
      </c>
      <c r="BR262" s="184" t="str">
        <f t="shared" ref="BR262:BT277" si="789">IF(AND(Z262&gt;=$AS262,Z261&lt;$AS261),1,"")</f>
        <v/>
      </c>
      <c r="BS262" s="184" t="str">
        <f t="shared" si="789"/>
        <v/>
      </c>
      <c r="BT262" s="184" t="str">
        <f t="shared" si="789"/>
        <v/>
      </c>
      <c r="BU262" s="184" t="str">
        <f t="shared" si="739"/>
        <v/>
      </c>
      <c r="BV262" s="184" t="str">
        <f t="shared" si="740"/>
        <v/>
      </c>
      <c r="BW262" s="184" t="str">
        <f t="shared" si="741"/>
        <v/>
      </c>
      <c r="BX262" s="184" t="str">
        <f t="shared" si="742"/>
        <v/>
      </c>
      <c r="BY262" s="184" t="str">
        <f t="shared" si="743"/>
        <v/>
      </c>
      <c r="BZ262" s="184" t="str">
        <f t="shared" si="744"/>
        <v/>
      </c>
      <c r="CA262" s="184" t="str">
        <f t="shared" si="745"/>
        <v/>
      </c>
      <c r="CB262" s="184" t="str">
        <f t="shared" si="746"/>
        <v/>
      </c>
      <c r="CC262" s="184" t="str">
        <f t="shared" si="747"/>
        <v/>
      </c>
      <c r="CD262" s="184" t="str">
        <f t="shared" si="748"/>
        <v/>
      </c>
      <c r="CE262" s="184" t="str">
        <f t="shared" si="749"/>
        <v/>
      </c>
      <c r="CF262" s="184" t="str">
        <f t="shared" si="750"/>
        <v/>
      </c>
      <c r="CG262" s="184" t="str">
        <f t="shared" si="751"/>
        <v/>
      </c>
      <c r="CH262" s="184" t="str">
        <f t="shared" si="752"/>
        <v/>
      </c>
      <c r="CI262" s="184" t="str">
        <f t="shared" si="753"/>
        <v/>
      </c>
      <c r="CJ262" s="184" t="str">
        <f t="shared" si="754"/>
        <v/>
      </c>
      <c r="CK262" s="184"/>
      <c r="CM262" s="184"/>
      <c r="CN262"/>
      <c r="CP262"/>
      <c r="CR262"/>
      <c r="CT262"/>
      <c r="CV262"/>
      <c r="CX262"/>
      <c r="CZ262"/>
      <c r="DB262"/>
      <c r="DD262"/>
      <c r="DF262"/>
      <c r="ED262" s="184"/>
      <c r="EF262" s="184"/>
      <c r="EH262" s="184"/>
      <c r="EJ262" s="184"/>
      <c r="EL262" s="184"/>
      <c r="EN262" s="184"/>
      <c r="EP262" s="184"/>
      <c r="ER262" s="184"/>
      <c r="ET262" s="184"/>
      <c r="EV262" s="184"/>
      <c r="EX262" s="184"/>
      <c r="EZ262" s="184"/>
      <c r="FB262" s="184"/>
    </row>
    <row r="263" spans="1:158">
      <c r="A263" s="184">
        <f t="shared" si="784"/>
        <v>61.5</v>
      </c>
      <c r="B263" s="18">
        <f t="shared" si="678"/>
        <v>11915</v>
      </c>
      <c r="C263" s="18">
        <f t="shared" si="755"/>
        <v>14711.666666667159</v>
      </c>
      <c r="D263" s="18">
        <f t="shared" si="756"/>
        <v>19474.166666666737</v>
      </c>
      <c r="E263" s="18">
        <f t="shared" si="691"/>
        <v>23654.166666666315</v>
      </c>
      <c r="F263" s="18">
        <f t="shared" si="692"/>
        <v>12035.833333333157</v>
      </c>
      <c r="G263" s="18">
        <f t="shared" si="693"/>
        <v>14880.833333332841</v>
      </c>
      <c r="H263" s="18">
        <f t="shared" si="694"/>
        <v>19450</v>
      </c>
      <c r="I263" s="18">
        <f t="shared" si="695"/>
        <v>11939.166666666895</v>
      </c>
      <c r="J263" s="18">
        <f t="shared" si="696"/>
        <v>15753.333333332841</v>
      </c>
      <c r="K263" s="18">
        <f t="shared" si="697"/>
        <v>19619.166666666843</v>
      </c>
      <c r="L263" s="18">
        <f t="shared" si="698"/>
        <v>23581.666666666209</v>
      </c>
      <c r="M263" s="18">
        <f t="shared" si="699"/>
        <v>30403.333333334318</v>
      </c>
      <c r="N263" s="18">
        <f t="shared" si="700"/>
        <v>14897.5</v>
      </c>
      <c r="O263" s="18">
        <f t="shared" si="701"/>
        <v>19574.166666666737</v>
      </c>
      <c r="P263" s="18">
        <f t="shared" si="702"/>
        <v>21987.5</v>
      </c>
      <c r="Q263" s="18">
        <f t="shared" si="703"/>
        <v>26643.333333334318</v>
      </c>
      <c r="R263" s="18">
        <f t="shared" si="704"/>
        <v>39872.5</v>
      </c>
      <c r="S263" s="18">
        <f t="shared" si="705"/>
        <v>23570.833333334107</v>
      </c>
      <c r="T263" s="18">
        <f t="shared" si="706"/>
        <v>26655.416666665682</v>
      </c>
      <c r="U263" s="18">
        <f t="shared" si="707"/>
        <v>30355.563333333022</v>
      </c>
      <c r="V263" s="18">
        <f t="shared" si="708"/>
        <v>38557.79999999865</v>
      </c>
      <c r="W263" s="18">
        <f t="shared" si="709"/>
        <v>48411.45999999762</v>
      </c>
      <c r="X263" s="18">
        <f t="shared" si="710"/>
        <v>59206.95000000135</v>
      </c>
      <c r="Y263" s="18">
        <f t="shared" si="711"/>
        <v>56658.333333331364</v>
      </c>
      <c r="Z263" s="18">
        <f t="shared" si="710"/>
        <v>47325.333333331786</v>
      </c>
      <c r="AA263" s="18">
        <f t="shared" ref="AA263:AB263" si="790">AA262+(AA$234-AA$233)/2</f>
        <v>55170.666666668636</v>
      </c>
      <c r="AB263" s="18">
        <f t="shared" si="790"/>
        <v>70147</v>
      </c>
      <c r="AC263" s="18">
        <f t="shared" si="679"/>
        <v>34300</v>
      </c>
      <c r="AD263" s="18">
        <f t="shared" si="766"/>
        <v>44100</v>
      </c>
      <c r="AE263" s="18">
        <f t="shared" si="767"/>
        <v>51450</v>
      </c>
      <c r="AF263" s="18">
        <f t="shared" si="768"/>
        <v>58800</v>
      </c>
      <c r="AG263" s="18">
        <f t="shared" si="769"/>
        <v>73500</v>
      </c>
      <c r="AH263" s="18">
        <f t="shared" si="769"/>
        <v>46550</v>
      </c>
      <c r="AI263" s="18">
        <f t="shared" si="769"/>
        <v>55860</v>
      </c>
      <c r="AJ263" s="18">
        <f t="shared" si="769"/>
        <v>61250</v>
      </c>
      <c r="AK263" s="18">
        <f t="shared" si="769"/>
        <v>71050</v>
      </c>
      <c r="AL263" s="18">
        <f t="shared" si="770"/>
        <v>53900</v>
      </c>
      <c r="AM263" s="18">
        <f t="shared" si="771"/>
        <v>61250</v>
      </c>
      <c r="AN263" s="18">
        <f t="shared" si="772"/>
        <v>70070</v>
      </c>
      <c r="AO263" s="18">
        <f t="shared" si="773"/>
        <v>110250</v>
      </c>
      <c r="AP263" s="18">
        <f t="shared" si="774"/>
        <v>117600</v>
      </c>
      <c r="AQ263" s="18">
        <f t="shared" si="775"/>
        <v>132300</v>
      </c>
      <c r="AR263" s="18">
        <f t="shared" si="776"/>
        <v>360640</v>
      </c>
      <c r="AS263" s="18">
        <f t="shared" si="690"/>
        <v>0</v>
      </c>
      <c r="AT263" s="184" t="str">
        <f t="shared" si="714"/>
        <v/>
      </c>
      <c r="AU263" s="184" t="str">
        <f t="shared" si="715"/>
        <v/>
      </c>
      <c r="AV263" s="184" t="str">
        <f t="shared" si="716"/>
        <v/>
      </c>
      <c r="AW263" s="184" t="str">
        <f t="shared" si="717"/>
        <v/>
      </c>
      <c r="AX263" s="184" t="str">
        <f t="shared" si="718"/>
        <v/>
      </c>
      <c r="AY263" s="184" t="str">
        <f t="shared" si="719"/>
        <v/>
      </c>
      <c r="AZ263" s="184" t="str">
        <f t="shared" si="720"/>
        <v/>
      </c>
      <c r="BA263" s="184" t="str">
        <f t="shared" si="721"/>
        <v/>
      </c>
      <c r="BB263" s="184" t="str">
        <f t="shared" si="722"/>
        <v/>
      </c>
      <c r="BC263" s="184" t="str">
        <f t="shared" si="723"/>
        <v/>
      </c>
      <c r="BD263" s="184" t="str">
        <f t="shared" si="724"/>
        <v/>
      </c>
      <c r="BE263" s="184" t="str">
        <f t="shared" si="725"/>
        <v/>
      </c>
      <c r="BF263" s="184" t="str">
        <f t="shared" si="726"/>
        <v/>
      </c>
      <c r="BG263" s="184" t="str">
        <f t="shared" si="727"/>
        <v/>
      </c>
      <c r="BH263" s="184" t="str">
        <f t="shared" si="728"/>
        <v/>
      </c>
      <c r="BI263" s="184" t="str">
        <f t="shared" si="729"/>
        <v/>
      </c>
      <c r="BJ263" s="184" t="str">
        <f t="shared" si="730"/>
        <v/>
      </c>
      <c r="BK263" s="184" t="str">
        <f t="shared" si="731"/>
        <v/>
      </c>
      <c r="BL263" s="184" t="str">
        <f t="shared" si="732"/>
        <v/>
      </c>
      <c r="BM263" s="184" t="str">
        <f t="shared" si="733"/>
        <v/>
      </c>
      <c r="BN263" s="184" t="str">
        <f t="shared" si="734"/>
        <v/>
      </c>
      <c r="BO263" s="184" t="str">
        <f t="shared" si="735"/>
        <v/>
      </c>
      <c r="BP263" s="184" t="str">
        <f t="shared" si="736"/>
        <v/>
      </c>
      <c r="BQ263" s="184" t="str">
        <f t="shared" si="737"/>
        <v/>
      </c>
      <c r="BR263" s="184" t="str">
        <f t="shared" si="789"/>
        <v/>
      </c>
      <c r="BS263" s="184" t="str">
        <f t="shared" si="789"/>
        <v/>
      </c>
      <c r="BT263" s="184" t="str">
        <f t="shared" si="789"/>
        <v/>
      </c>
      <c r="BU263" s="184" t="str">
        <f t="shared" si="739"/>
        <v/>
      </c>
      <c r="BV263" s="184" t="str">
        <f t="shared" si="740"/>
        <v/>
      </c>
      <c r="BW263" s="184" t="str">
        <f t="shared" si="741"/>
        <v/>
      </c>
      <c r="BX263" s="184" t="str">
        <f t="shared" si="742"/>
        <v/>
      </c>
      <c r="BY263" s="184" t="str">
        <f t="shared" si="743"/>
        <v/>
      </c>
      <c r="BZ263" s="184" t="str">
        <f t="shared" si="744"/>
        <v/>
      </c>
      <c r="CA263" s="184" t="str">
        <f t="shared" si="745"/>
        <v/>
      </c>
      <c r="CB263" s="184" t="str">
        <f t="shared" si="746"/>
        <v/>
      </c>
      <c r="CC263" s="184" t="str">
        <f t="shared" si="747"/>
        <v/>
      </c>
      <c r="CD263" s="184" t="str">
        <f t="shared" si="748"/>
        <v/>
      </c>
      <c r="CE263" s="184" t="str">
        <f t="shared" si="749"/>
        <v/>
      </c>
      <c r="CF263" s="184" t="str">
        <f t="shared" si="750"/>
        <v/>
      </c>
      <c r="CG263" s="184" t="str">
        <f t="shared" si="751"/>
        <v/>
      </c>
      <c r="CH263" s="184" t="str">
        <f t="shared" si="752"/>
        <v/>
      </c>
      <c r="CI263" s="184" t="str">
        <f t="shared" si="753"/>
        <v/>
      </c>
      <c r="CJ263" s="184" t="str">
        <f t="shared" si="754"/>
        <v/>
      </c>
      <c r="CK263" s="184"/>
      <c r="CM263" s="184"/>
      <c r="CN263"/>
      <c r="CP263"/>
      <c r="CR263"/>
      <c r="CT263"/>
      <c r="CV263"/>
      <c r="CX263"/>
      <c r="CZ263"/>
      <c r="DB263"/>
      <c r="DD263"/>
      <c r="DF263"/>
      <c r="ED263" s="184"/>
      <c r="EF263" s="184"/>
      <c r="EH263" s="184"/>
      <c r="EJ263" s="184"/>
      <c r="EL263" s="184"/>
      <c r="EN263" s="184"/>
      <c r="EP263" s="184"/>
      <c r="ER263" s="184"/>
      <c r="ET263" s="184"/>
      <c r="EV263" s="184"/>
      <c r="EX263" s="184"/>
      <c r="EZ263" s="184"/>
      <c r="FB263" s="184"/>
    </row>
    <row r="264" spans="1:158">
      <c r="A264" s="184">
        <f t="shared" si="784"/>
        <v>62</v>
      </c>
      <c r="B264" s="18">
        <f t="shared" si="678"/>
        <v>11950</v>
      </c>
      <c r="C264" s="18">
        <f t="shared" si="755"/>
        <v>14750.000000000509</v>
      </c>
      <c r="D264" s="18">
        <f t="shared" si="756"/>
        <v>19525.000000000073</v>
      </c>
      <c r="E264" s="18">
        <f t="shared" si="691"/>
        <v>23724.999999999636</v>
      </c>
      <c r="F264" s="18">
        <f t="shared" si="692"/>
        <v>12074.999999999818</v>
      </c>
      <c r="G264" s="18">
        <f t="shared" si="693"/>
        <v>14924.999999999491</v>
      </c>
      <c r="H264" s="18">
        <f t="shared" si="694"/>
        <v>19500</v>
      </c>
      <c r="I264" s="18">
        <f t="shared" si="695"/>
        <v>11975.000000000236</v>
      </c>
      <c r="J264" s="18">
        <f t="shared" si="696"/>
        <v>15799.999999999491</v>
      </c>
      <c r="K264" s="18">
        <f t="shared" si="697"/>
        <v>19675.000000000182</v>
      </c>
      <c r="L264" s="18">
        <f t="shared" si="698"/>
        <v>23649.999999999527</v>
      </c>
      <c r="M264" s="18">
        <f t="shared" si="699"/>
        <v>30500.000000001019</v>
      </c>
      <c r="N264" s="18">
        <f t="shared" si="700"/>
        <v>14925</v>
      </c>
      <c r="O264" s="18">
        <f t="shared" si="701"/>
        <v>19625.000000000073</v>
      </c>
      <c r="P264" s="18">
        <f t="shared" si="702"/>
        <v>22025</v>
      </c>
      <c r="Q264" s="18">
        <f t="shared" si="703"/>
        <v>26700.000000001019</v>
      </c>
      <c r="R264" s="18">
        <f t="shared" si="704"/>
        <v>39975</v>
      </c>
      <c r="S264" s="18">
        <f t="shared" si="705"/>
        <v>23625.0000000008</v>
      </c>
      <c r="T264" s="18">
        <f t="shared" si="706"/>
        <v>26712.499999998981</v>
      </c>
      <c r="U264" s="18">
        <f t="shared" si="707"/>
        <v>30416.099999999678</v>
      </c>
      <c r="V264" s="18">
        <f t="shared" si="708"/>
        <v>38645.999999998603</v>
      </c>
      <c r="W264" s="18">
        <f t="shared" si="709"/>
        <v>48522.199999997538</v>
      </c>
      <c r="X264" s="18">
        <f t="shared" si="710"/>
        <v>59386.500000001397</v>
      </c>
      <c r="Y264" s="18">
        <f t="shared" si="711"/>
        <v>56749.999999997963</v>
      </c>
      <c r="Z264" s="18">
        <f t="shared" si="710"/>
        <v>47439.999999998399</v>
      </c>
      <c r="AA264" s="18">
        <f t="shared" ref="AA264:AB264" si="791">AA263+(AA$234-AA$233)/2</f>
        <v>55280.000000002037</v>
      </c>
      <c r="AB264" s="18">
        <f t="shared" si="791"/>
        <v>70290</v>
      </c>
      <c r="AC264" s="18">
        <f t="shared" si="679"/>
        <v>35000</v>
      </c>
      <c r="AD264" s="18">
        <f t="shared" si="766"/>
        <v>45000</v>
      </c>
      <c r="AE264" s="18">
        <f t="shared" si="767"/>
        <v>52500</v>
      </c>
      <c r="AF264" s="18">
        <f t="shared" si="768"/>
        <v>60000</v>
      </c>
      <c r="AG264" s="18">
        <f t="shared" si="769"/>
        <v>75000</v>
      </c>
      <c r="AH264" s="18">
        <f t="shared" si="769"/>
        <v>47500</v>
      </c>
      <c r="AI264" s="18">
        <f t="shared" si="769"/>
        <v>57000</v>
      </c>
      <c r="AJ264" s="18">
        <f t="shared" si="769"/>
        <v>62500</v>
      </c>
      <c r="AK264" s="18">
        <f t="shared" si="769"/>
        <v>72500</v>
      </c>
      <c r="AL264" s="18">
        <f t="shared" si="770"/>
        <v>55000</v>
      </c>
      <c r="AM264" s="18">
        <f t="shared" si="771"/>
        <v>62500</v>
      </c>
      <c r="AN264" s="18">
        <f t="shared" si="772"/>
        <v>71500</v>
      </c>
      <c r="AO264" s="18">
        <f t="shared" si="773"/>
        <v>112500</v>
      </c>
      <c r="AP264" s="18">
        <f t="shared" si="774"/>
        <v>120000</v>
      </c>
      <c r="AQ264" s="18">
        <f t="shared" si="775"/>
        <v>135000</v>
      </c>
      <c r="AR264" s="18">
        <f t="shared" si="776"/>
        <v>368000</v>
      </c>
      <c r="AS264" s="18">
        <f t="shared" si="690"/>
        <v>0</v>
      </c>
      <c r="AT264" s="184" t="str">
        <f t="shared" si="714"/>
        <v/>
      </c>
      <c r="AU264" s="184" t="str">
        <f t="shared" si="715"/>
        <v/>
      </c>
      <c r="AV264" s="184" t="str">
        <f t="shared" si="716"/>
        <v/>
      </c>
      <c r="AW264" s="184" t="str">
        <f t="shared" si="717"/>
        <v/>
      </c>
      <c r="AX264" s="184" t="str">
        <f t="shared" si="718"/>
        <v/>
      </c>
      <c r="AY264" s="184" t="str">
        <f t="shared" si="719"/>
        <v/>
      </c>
      <c r="AZ264" s="184" t="str">
        <f t="shared" si="720"/>
        <v/>
      </c>
      <c r="BA264" s="184" t="str">
        <f t="shared" si="721"/>
        <v/>
      </c>
      <c r="BB264" s="184" t="str">
        <f t="shared" si="722"/>
        <v/>
      </c>
      <c r="BC264" s="184" t="str">
        <f t="shared" si="723"/>
        <v/>
      </c>
      <c r="BD264" s="184" t="str">
        <f t="shared" si="724"/>
        <v/>
      </c>
      <c r="BE264" s="184" t="str">
        <f t="shared" si="725"/>
        <v/>
      </c>
      <c r="BF264" s="184" t="str">
        <f t="shared" si="726"/>
        <v/>
      </c>
      <c r="BG264" s="184" t="str">
        <f t="shared" si="727"/>
        <v/>
      </c>
      <c r="BH264" s="184" t="str">
        <f t="shared" si="728"/>
        <v/>
      </c>
      <c r="BI264" s="184" t="str">
        <f t="shared" si="729"/>
        <v/>
      </c>
      <c r="BJ264" s="184" t="str">
        <f t="shared" si="730"/>
        <v/>
      </c>
      <c r="BK264" s="184" t="str">
        <f t="shared" si="731"/>
        <v/>
      </c>
      <c r="BL264" s="184" t="str">
        <f t="shared" si="732"/>
        <v/>
      </c>
      <c r="BM264" s="184" t="str">
        <f t="shared" si="733"/>
        <v/>
      </c>
      <c r="BN264" s="184" t="str">
        <f t="shared" si="734"/>
        <v/>
      </c>
      <c r="BO264" s="184" t="str">
        <f t="shared" si="735"/>
        <v/>
      </c>
      <c r="BP264" s="184" t="str">
        <f t="shared" si="736"/>
        <v/>
      </c>
      <c r="BQ264" s="184" t="str">
        <f t="shared" si="737"/>
        <v/>
      </c>
      <c r="BR264" s="184" t="str">
        <f t="shared" si="789"/>
        <v/>
      </c>
      <c r="BS264" s="184" t="str">
        <f t="shared" si="789"/>
        <v/>
      </c>
      <c r="BT264" s="184" t="str">
        <f t="shared" si="789"/>
        <v/>
      </c>
      <c r="BU264" s="184" t="str">
        <f t="shared" si="739"/>
        <v/>
      </c>
      <c r="BV264" s="184" t="str">
        <f t="shared" si="740"/>
        <v/>
      </c>
      <c r="BW264" s="184" t="str">
        <f t="shared" si="741"/>
        <v/>
      </c>
      <c r="BX264" s="184" t="str">
        <f t="shared" si="742"/>
        <v/>
      </c>
      <c r="BY264" s="184" t="str">
        <f t="shared" si="743"/>
        <v/>
      </c>
      <c r="BZ264" s="184" t="str">
        <f t="shared" si="744"/>
        <v/>
      </c>
      <c r="CA264" s="184" t="str">
        <f t="shared" si="745"/>
        <v/>
      </c>
      <c r="CB264" s="184" t="str">
        <f t="shared" si="746"/>
        <v/>
      </c>
      <c r="CC264" s="184" t="str">
        <f t="shared" si="747"/>
        <v/>
      </c>
      <c r="CD264" s="184" t="str">
        <f t="shared" si="748"/>
        <v/>
      </c>
      <c r="CE264" s="184" t="str">
        <f t="shared" si="749"/>
        <v/>
      </c>
      <c r="CF264" s="184" t="str">
        <f t="shared" si="750"/>
        <v/>
      </c>
      <c r="CG264" s="184" t="str">
        <f t="shared" si="751"/>
        <v/>
      </c>
      <c r="CH264" s="184" t="str">
        <f t="shared" si="752"/>
        <v/>
      </c>
      <c r="CI264" s="184" t="str">
        <f t="shared" si="753"/>
        <v/>
      </c>
      <c r="CJ264" s="184" t="str">
        <f t="shared" si="754"/>
        <v/>
      </c>
      <c r="CK264" s="184"/>
      <c r="CM264" s="184"/>
      <c r="CN264"/>
      <c r="CP264"/>
      <c r="CR264"/>
      <c r="CT264"/>
      <c r="CV264"/>
      <c r="CX264"/>
      <c r="CZ264"/>
      <c r="DB264"/>
      <c r="DD264"/>
      <c r="DF264"/>
      <c r="ED264" s="184"/>
      <c r="EF264" s="184"/>
      <c r="EH264" s="184"/>
      <c r="EJ264" s="184"/>
      <c r="EL264" s="184"/>
      <c r="EN264" s="184"/>
      <c r="EP264" s="184"/>
      <c r="ER264" s="184"/>
      <c r="ET264" s="184"/>
      <c r="EV264" s="184"/>
      <c r="EX264" s="184"/>
      <c r="EZ264" s="184"/>
      <c r="FB264" s="184"/>
    </row>
    <row r="265" spans="1:158">
      <c r="A265" s="184">
        <f t="shared" si="784"/>
        <v>62.5</v>
      </c>
      <c r="B265" s="18">
        <f t="shared" si="678"/>
        <v>11985</v>
      </c>
      <c r="C265" s="18">
        <f t="shared" si="755"/>
        <v>14788.33333333386</v>
      </c>
      <c r="D265" s="18">
        <f t="shared" si="756"/>
        <v>19575.833333333409</v>
      </c>
      <c r="E265" s="18">
        <f t="shared" si="691"/>
        <v>23795.833333332957</v>
      </c>
      <c r="F265" s="18">
        <f t="shared" si="692"/>
        <v>12114.166666666479</v>
      </c>
      <c r="G265" s="18">
        <f t="shared" si="693"/>
        <v>14969.16666666614</v>
      </c>
      <c r="H265" s="18">
        <f t="shared" si="694"/>
        <v>19550</v>
      </c>
      <c r="I265" s="18">
        <f t="shared" si="695"/>
        <v>12010.833333333578</v>
      </c>
      <c r="J265" s="18">
        <f t="shared" si="696"/>
        <v>15846.66666666614</v>
      </c>
      <c r="K265" s="18">
        <f t="shared" si="697"/>
        <v>19730.833333333521</v>
      </c>
      <c r="L265" s="18">
        <f t="shared" si="698"/>
        <v>23718.333333332845</v>
      </c>
      <c r="M265" s="18">
        <f t="shared" si="699"/>
        <v>30596.666666667719</v>
      </c>
      <c r="N265" s="18">
        <f t="shared" si="700"/>
        <v>14952.5</v>
      </c>
      <c r="O265" s="18">
        <f t="shared" si="701"/>
        <v>19675.833333333409</v>
      </c>
      <c r="P265" s="18">
        <f t="shared" si="702"/>
        <v>22062.5</v>
      </c>
      <c r="Q265" s="18">
        <f t="shared" si="703"/>
        <v>26756.666666667719</v>
      </c>
      <c r="R265" s="18">
        <f t="shared" si="704"/>
        <v>40077.5</v>
      </c>
      <c r="S265" s="18">
        <f t="shared" si="705"/>
        <v>23679.166666667494</v>
      </c>
      <c r="T265" s="18">
        <f t="shared" si="706"/>
        <v>26769.583333332281</v>
      </c>
      <c r="U265" s="18">
        <f t="shared" si="707"/>
        <v>30476.636666666334</v>
      </c>
      <c r="V265" s="18">
        <f t="shared" si="708"/>
        <v>38734.199999998556</v>
      </c>
      <c r="W265" s="18">
        <f t="shared" si="709"/>
        <v>48632.939999997456</v>
      </c>
      <c r="X265" s="18">
        <f t="shared" si="710"/>
        <v>59566.050000001444</v>
      </c>
      <c r="Y265" s="18">
        <f t="shared" si="711"/>
        <v>56841.666666664561</v>
      </c>
      <c r="Z265" s="18">
        <f t="shared" si="710"/>
        <v>47554.666666665013</v>
      </c>
      <c r="AA265" s="18">
        <f t="shared" ref="AA265:AB265" si="792">AA264+(AA$234-AA$233)/2</f>
        <v>55389.333333335439</v>
      </c>
      <c r="AB265" s="18">
        <f t="shared" si="792"/>
        <v>70433</v>
      </c>
      <c r="AC265" s="18">
        <f t="shared" si="679"/>
        <v>35700</v>
      </c>
      <c r="AD265" s="18">
        <f t="shared" si="766"/>
        <v>45900</v>
      </c>
      <c r="AE265" s="18">
        <f t="shared" si="767"/>
        <v>53550</v>
      </c>
      <c r="AF265" s="18">
        <f t="shared" si="768"/>
        <v>61200</v>
      </c>
      <c r="AG265" s="18">
        <f t="shared" si="769"/>
        <v>76500</v>
      </c>
      <c r="AH265" s="18">
        <f t="shared" si="769"/>
        <v>48450</v>
      </c>
      <c r="AI265" s="18">
        <f t="shared" si="769"/>
        <v>58140</v>
      </c>
      <c r="AJ265" s="18">
        <f t="shared" si="769"/>
        <v>63750</v>
      </c>
      <c r="AK265" s="18">
        <f t="shared" si="769"/>
        <v>73950</v>
      </c>
      <c r="AL265" s="18">
        <f t="shared" si="770"/>
        <v>56100</v>
      </c>
      <c r="AM265" s="18">
        <f t="shared" si="771"/>
        <v>63750</v>
      </c>
      <c r="AN265" s="18">
        <f t="shared" si="772"/>
        <v>72930</v>
      </c>
      <c r="AO265" s="18">
        <f t="shared" si="773"/>
        <v>114750</v>
      </c>
      <c r="AP265" s="18">
        <f t="shared" si="774"/>
        <v>122400</v>
      </c>
      <c r="AQ265" s="18">
        <f t="shared" si="775"/>
        <v>137700</v>
      </c>
      <c r="AR265" s="18">
        <f t="shared" si="776"/>
        <v>375360</v>
      </c>
      <c r="AS265" s="18">
        <f t="shared" si="690"/>
        <v>0</v>
      </c>
      <c r="AT265" s="184" t="str">
        <f t="shared" si="714"/>
        <v/>
      </c>
      <c r="AU265" s="184" t="str">
        <f t="shared" si="715"/>
        <v/>
      </c>
      <c r="AV265" s="184" t="str">
        <f t="shared" si="716"/>
        <v/>
      </c>
      <c r="AW265" s="184" t="str">
        <f t="shared" si="717"/>
        <v/>
      </c>
      <c r="AX265" s="184" t="str">
        <f t="shared" si="718"/>
        <v/>
      </c>
      <c r="AY265" s="184" t="str">
        <f t="shared" si="719"/>
        <v/>
      </c>
      <c r="AZ265" s="184" t="str">
        <f t="shared" si="720"/>
        <v/>
      </c>
      <c r="BA265" s="184" t="str">
        <f t="shared" si="721"/>
        <v/>
      </c>
      <c r="BB265" s="184" t="str">
        <f t="shared" si="722"/>
        <v/>
      </c>
      <c r="BC265" s="184" t="str">
        <f t="shared" si="723"/>
        <v/>
      </c>
      <c r="BD265" s="184" t="str">
        <f t="shared" si="724"/>
        <v/>
      </c>
      <c r="BE265" s="184" t="str">
        <f t="shared" si="725"/>
        <v/>
      </c>
      <c r="BF265" s="184" t="str">
        <f t="shared" si="726"/>
        <v/>
      </c>
      <c r="BG265" s="184" t="str">
        <f t="shared" si="727"/>
        <v/>
      </c>
      <c r="BH265" s="184" t="str">
        <f t="shared" si="728"/>
        <v/>
      </c>
      <c r="BI265" s="184" t="str">
        <f t="shared" si="729"/>
        <v/>
      </c>
      <c r="BJ265" s="184" t="str">
        <f t="shared" si="730"/>
        <v/>
      </c>
      <c r="BK265" s="184" t="str">
        <f t="shared" si="731"/>
        <v/>
      </c>
      <c r="BL265" s="184" t="str">
        <f t="shared" si="732"/>
        <v/>
      </c>
      <c r="BM265" s="184" t="str">
        <f t="shared" si="733"/>
        <v/>
      </c>
      <c r="BN265" s="184" t="str">
        <f t="shared" si="734"/>
        <v/>
      </c>
      <c r="BO265" s="184" t="str">
        <f t="shared" si="735"/>
        <v/>
      </c>
      <c r="BP265" s="184" t="str">
        <f t="shared" si="736"/>
        <v/>
      </c>
      <c r="BQ265" s="184" t="str">
        <f t="shared" si="737"/>
        <v/>
      </c>
      <c r="BR265" s="184" t="str">
        <f t="shared" si="789"/>
        <v/>
      </c>
      <c r="BS265" s="184" t="str">
        <f t="shared" si="789"/>
        <v/>
      </c>
      <c r="BT265" s="184" t="str">
        <f t="shared" si="789"/>
        <v/>
      </c>
      <c r="BU265" s="184" t="str">
        <f t="shared" si="739"/>
        <v/>
      </c>
      <c r="BV265" s="184" t="str">
        <f t="shared" si="740"/>
        <v/>
      </c>
      <c r="BW265" s="184" t="str">
        <f t="shared" si="741"/>
        <v/>
      </c>
      <c r="BX265" s="184" t="str">
        <f t="shared" si="742"/>
        <v/>
      </c>
      <c r="BY265" s="184" t="str">
        <f t="shared" si="743"/>
        <v/>
      </c>
      <c r="BZ265" s="184" t="str">
        <f t="shared" si="744"/>
        <v/>
      </c>
      <c r="CA265" s="184" t="str">
        <f t="shared" si="745"/>
        <v/>
      </c>
      <c r="CB265" s="184" t="str">
        <f t="shared" si="746"/>
        <v/>
      </c>
      <c r="CC265" s="184" t="str">
        <f t="shared" si="747"/>
        <v/>
      </c>
      <c r="CD265" s="184" t="str">
        <f t="shared" si="748"/>
        <v/>
      </c>
      <c r="CE265" s="184" t="str">
        <f t="shared" si="749"/>
        <v/>
      </c>
      <c r="CF265" s="184" t="str">
        <f t="shared" si="750"/>
        <v/>
      </c>
      <c r="CG265" s="184" t="str">
        <f t="shared" si="751"/>
        <v/>
      </c>
      <c r="CH265" s="184" t="str">
        <f t="shared" si="752"/>
        <v/>
      </c>
      <c r="CI265" s="184" t="str">
        <f t="shared" si="753"/>
        <v/>
      </c>
      <c r="CJ265" s="184" t="str">
        <f t="shared" si="754"/>
        <v/>
      </c>
      <c r="CK265" s="184"/>
      <c r="CM265" s="184"/>
      <c r="CN265"/>
      <c r="CP265"/>
      <c r="CR265"/>
      <c r="CT265"/>
      <c r="CV265"/>
      <c r="CX265"/>
      <c r="CZ265"/>
      <c r="DB265"/>
      <c r="DD265"/>
      <c r="DF265"/>
      <c r="ED265" s="184"/>
      <c r="EF265" s="184"/>
      <c r="EH265" s="184"/>
      <c r="EJ265" s="184"/>
      <c r="EL265" s="184"/>
      <c r="EN265" s="184"/>
      <c r="EP265" s="184"/>
      <c r="ER265" s="184"/>
      <c r="ET265" s="184"/>
      <c r="EV265" s="184"/>
      <c r="EX265" s="184"/>
      <c r="EZ265" s="184"/>
      <c r="FB265" s="184"/>
    </row>
    <row r="266" spans="1:158">
      <c r="A266" s="184">
        <f t="shared" si="784"/>
        <v>63</v>
      </c>
      <c r="B266" s="18">
        <f t="shared" si="678"/>
        <v>12020</v>
      </c>
      <c r="C266" s="18">
        <f t="shared" si="755"/>
        <v>14826.66666666721</v>
      </c>
      <c r="D266" s="18">
        <f t="shared" si="756"/>
        <v>19626.666666666744</v>
      </c>
      <c r="E266" s="18">
        <f t="shared" si="691"/>
        <v>23866.666666666279</v>
      </c>
      <c r="F266" s="18">
        <f t="shared" si="692"/>
        <v>12153.333333333139</v>
      </c>
      <c r="G266" s="18">
        <f t="shared" si="693"/>
        <v>15013.33333333279</v>
      </c>
      <c r="H266" s="18">
        <f t="shared" si="694"/>
        <v>19600</v>
      </c>
      <c r="I266" s="18">
        <f t="shared" si="695"/>
        <v>12046.666666666919</v>
      </c>
      <c r="J266" s="18">
        <f t="shared" si="696"/>
        <v>15893.33333333279</v>
      </c>
      <c r="K266" s="18">
        <f t="shared" si="697"/>
        <v>19786.666666666861</v>
      </c>
      <c r="L266" s="18">
        <f t="shared" si="698"/>
        <v>23786.666666666162</v>
      </c>
      <c r="M266" s="18">
        <f t="shared" si="699"/>
        <v>30693.33333333442</v>
      </c>
      <c r="N266" s="18">
        <f t="shared" si="700"/>
        <v>14980</v>
      </c>
      <c r="O266" s="18">
        <f t="shared" si="701"/>
        <v>19726.666666666744</v>
      </c>
      <c r="P266" s="18">
        <f t="shared" si="702"/>
        <v>22100</v>
      </c>
      <c r="Q266" s="18">
        <f t="shared" si="703"/>
        <v>26813.33333333442</v>
      </c>
      <c r="R266" s="18">
        <f t="shared" si="704"/>
        <v>40180</v>
      </c>
      <c r="S266" s="18">
        <f t="shared" si="705"/>
        <v>23733.333333334187</v>
      </c>
      <c r="T266" s="18">
        <f t="shared" si="706"/>
        <v>26826.66666666558</v>
      </c>
      <c r="U266" s="18">
        <f t="shared" si="707"/>
        <v>30537.17333333299</v>
      </c>
      <c r="V266" s="18">
        <f t="shared" si="708"/>
        <v>38822.39999999851</v>
      </c>
      <c r="W266" s="18">
        <f t="shared" si="709"/>
        <v>48743.679999997374</v>
      </c>
      <c r="X266" s="18">
        <f t="shared" si="710"/>
        <v>59745.60000000149</v>
      </c>
      <c r="Y266" s="18">
        <f t="shared" si="711"/>
        <v>56933.33333333116</v>
      </c>
      <c r="Z266" s="18">
        <f t="shared" si="710"/>
        <v>47669.333333331626</v>
      </c>
      <c r="AA266" s="18">
        <f t="shared" ref="AA266:AB266" si="793">AA265+(AA$234-AA$233)/2</f>
        <v>55498.66666666884</v>
      </c>
      <c r="AB266" s="18">
        <f t="shared" si="793"/>
        <v>70576</v>
      </c>
      <c r="AC266" s="18">
        <f t="shared" si="679"/>
        <v>36400</v>
      </c>
      <c r="AD266" s="18">
        <f t="shared" si="766"/>
        <v>46800</v>
      </c>
      <c r="AE266" s="18">
        <f t="shared" si="767"/>
        <v>54600</v>
      </c>
      <c r="AF266" s="18">
        <f t="shared" si="768"/>
        <v>62400</v>
      </c>
      <c r="AG266" s="18">
        <f t="shared" si="769"/>
        <v>78000</v>
      </c>
      <c r="AH266" s="18">
        <f t="shared" si="769"/>
        <v>49400</v>
      </c>
      <c r="AI266" s="18">
        <f t="shared" si="769"/>
        <v>59280</v>
      </c>
      <c r="AJ266" s="18">
        <f t="shared" si="769"/>
        <v>65000</v>
      </c>
      <c r="AK266" s="18">
        <f t="shared" si="769"/>
        <v>75400</v>
      </c>
      <c r="AL266" s="18">
        <f t="shared" si="770"/>
        <v>57200</v>
      </c>
      <c r="AM266" s="18">
        <f t="shared" si="771"/>
        <v>65000</v>
      </c>
      <c r="AN266" s="18">
        <f t="shared" si="772"/>
        <v>74360</v>
      </c>
      <c r="AO266" s="18">
        <f t="shared" si="773"/>
        <v>117000</v>
      </c>
      <c r="AP266" s="18">
        <f t="shared" si="774"/>
        <v>124800</v>
      </c>
      <c r="AQ266" s="18">
        <f t="shared" si="775"/>
        <v>140400</v>
      </c>
      <c r="AR266" s="18">
        <f t="shared" si="776"/>
        <v>382720</v>
      </c>
      <c r="AS266" s="18">
        <f t="shared" si="690"/>
        <v>0</v>
      </c>
      <c r="AT266" s="184" t="str">
        <f t="shared" si="714"/>
        <v/>
      </c>
      <c r="AU266" s="184" t="str">
        <f t="shared" si="715"/>
        <v/>
      </c>
      <c r="AV266" s="184" t="str">
        <f t="shared" si="716"/>
        <v/>
      </c>
      <c r="AW266" s="184" t="str">
        <f t="shared" si="717"/>
        <v/>
      </c>
      <c r="AX266" s="184" t="str">
        <f t="shared" si="718"/>
        <v/>
      </c>
      <c r="AY266" s="184" t="str">
        <f t="shared" si="719"/>
        <v/>
      </c>
      <c r="AZ266" s="184" t="str">
        <f t="shared" si="720"/>
        <v/>
      </c>
      <c r="BA266" s="184" t="str">
        <f t="shared" si="721"/>
        <v/>
      </c>
      <c r="BB266" s="184" t="str">
        <f t="shared" si="722"/>
        <v/>
      </c>
      <c r="BC266" s="184" t="str">
        <f t="shared" si="723"/>
        <v/>
      </c>
      <c r="BD266" s="184" t="str">
        <f t="shared" si="724"/>
        <v/>
      </c>
      <c r="BE266" s="184" t="str">
        <f t="shared" si="725"/>
        <v/>
      </c>
      <c r="BF266" s="184" t="str">
        <f t="shared" si="726"/>
        <v/>
      </c>
      <c r="BG266" s="184" t="str">
        <f t="shared" si="727"/>
        <v/>
      </c>
      <c r="BH266" s="184" t="str">
        <f t="shared" si="728"/>
        <v/>
      </c>
      <c r="BI266" s="184" t="str">
        <f t="shared" si="729"/>
        <v/>
      </c>
      <c r="BJ266" s="184" t="str">
        <f t="shared" si="730"/>
        <v/>
      </c>
      <c r="BK266" s="184" t="str">
        <f t="shared" si="731"/>
        <v/>
      </c>
      <c r="BL266" s="184" t="str">
        <f t="shared" si="732"/>
        <v/>
      </c>
      <c r="BM266" s="184" t="str">
        <f t="shared" si="733"/>
        <v/>
      </c>
      <c r="BN266" s="184" t="str">
        <f t="shared" si="734"/>
        <v/>
      </c>
      <c r="BO266" s="184" t="str">
        <f t="shared" si="735"/>
        <v/>
      </c>
      <c r="BP266" s="184" t="str">
        <f t="shared" si="736"/>
        <v/>
      </c>
      <c r="BQ266" s="184" t="str">
        <f t="shared" si="737"/>
        <v/>
      </c>
      <c r="BR266" s="184" t="str">
        <f t="shared" si="789"/>
        <v/>
      </c>
      <c r="BS266" s="184" t="str">
        <f t="shared" si="789"/>
        <v/>
      </c>
      <c r="BT266" s="184" t="str">
        <f t="shared" si="789"/>
        <v/>
      </c>
      <c r="BU266" s="184" t="str">
        <f t="shared" si="739"/>
        <v/>
      </c>
      <c r="BV266" s="184" t="str">
        <f t="shared" si="740"/>
        <v/>
      </c>
      <c r="BW266" s="184" t="str">
        <f t="shared" si="741"/>
        <v/>
      </c>
      <c r="BX266" s="184" t="str">
        <f t="shared" si="742"/>
        <v/>
      </c>
      <c r="BY266" s="184" t="str">
        <f t="shared" si="743"/>
        <v/>
      </c>
      <c r="BZ266" s="184" t="str">
        <f t="shared" si="744"/>
        <v/>
      </c>
      <c r="CA266" s="184" t="str">
        <f t="shared" si="745"/>
        <v/>
      </c>
      <c r="CB266" s="184" t="str">
        <f t="shared" si="746"/>
        <v/>
      </c>
      <c r="CC266" s="184" t="str">
        <f t="shared" si="747"/>
        <v/>
      </c>
      <c r="CD266" s="184" t="str">
        <f t="shared" si="748"/>
        <v/>
      </c>
      <c r="CE266" s="184" t="str">
        <f t="shared" si="749"/>
        <v/>
      </c>
      <c r="CF266" s="184" t="str">
        <f t="shared" si="750"/>
        <v/>
      </c>
      <c r="CG266" s="184" t="str">
        <f t="shared" si="751"/>
        <v/>
      </c>
      <c r="CH266" s="184" t="str">
        <f t="shared" si="752"/>
        <v/>
      </c>
      <c r="CI266" s="184" t="str">
        <f t="shared" si="753"/>
        <v/>
      </c>
      <c r="CJ266" s="184" t="str">
        <f t="shared" si="754"/>
        <v/>
      </c>
      <c r="CK266" s="184"/>
      <c r="CM266" s="184"/>
      <c r="CN266"/>
      <c r="CP266"/>
      <c r="CR266"/>
      <c r="CT266"/>
      <c r="CV266"/>
      <c r="CX266"/>
      <c r="CZ266"/>
      <c r="DB266"/>
      <c r="DD266"/>
      <c r="DF266"/>
      <c r="ED266" s="184"/>
      <c r="EF266" s="184"/>
      <c r="EH266" s="184"/>
      <c r="EJ266" s="184"/>
      <c r="EL266" s="184"/>
      <c r="EN266" s="184"/>
      <c r="EP266" s="184"/>
      <c r="ER266" s="184"/>
      <c r="ET266" s="184"/>
      <c r="EV266" s="184"/>
      <c r="EX266" s="184"/>
      <c r="EZ266" s="184"/>
      <c r="FB266" s="184"/>
    </row>
    <row r="267" spans="1:158">
      <c r="A267" s="184">
        <f t="shared" si="784"/>
        <v>63.5</v>
      </c>
      <c r="B267" s="18">
        <f t="shared" si="678"/>
        <v>12055</v>
      </c>
      <c r="C267" s="18">
        <f t="shared" si="755"/>
        <v>14865.00000000056</v>
      </c>
      <c r="D267" s="18">
        <f t="shared" si="756"/>
        <v>19677.50000000008</v>
      </c>
      <c r="E267" s="18">
        <f t="shared" si="691"/>
        <v>23937.4999999996</v>
      </c>
      <c r="F267" s="18">
        <f t="shared" si="692"/>
        <v>12192.4999999998</v>
      </c>
      <c r="G267" s="18">
        <f t="shared" si="693"/>
        <v>15057.49999999944</v>
      </c>
      <c r="H267" s="18">
        <f t="shared" si="694"/>
        <v>19650</v>
      </c>
      <c r="I267" s="18">
        <f t="shared" si="695"/>
        <v>12082.50000000026</v>
      </c>
      <c r="J267" s="18">
        <f t="shared" si="696"/>
        <v>15939.99999999944</v>
      </c>
      <c r="K267" s="18">
        <f t="shared" si="697"/>
        <v>19842.5000000002</v>
      </c>
      <c r="L267" s="18">
        <f t="shared" si="698"/>
        <v>23854.99999999948</v>
      </c>
      <c r="M267" s="18">
        <f t="shared" si="699"/>
        <v>30790.00000000112</v>
      </c>
      <c r="N267" s="18">
        <f t="shared" si="700"/>
        <v>15007.5</v>
      </c>
      <c r="O267" s="18">
        <f t="shared" si="701"/>
        <v>19777.50000000008</v>
      </c>
      <c r="P267" s="18">
        <f t="shared" si="702"/>
        <v>22137.5</v>
      </c>
      <c r="Q267" s="18">
        <f t="shared" si="703"/>
        <v>26870.00000000112</v>
      </c>
      <c r="R267" s="18">
        <f t="shared" si="704"/>
        <v>40282.5</v>
      </c>
      <c r="S267" s="18">
        <f t="shared" si="705"/>
        <v>23787.50000000088</v>
      </c>
      <c r="T267" s="18">
        <f t="shared" si="706"/>
        <v>26883.74999999888</v>
      </c>
      <c r="U267" s="18">
        <f t="shared" si="707"/>
        <v>30597.709999999646</v>
      </c>
      <c r="V267" s="18">
        <f t="shared" si="708"/>
        <v>38910.599999998463</v>
      </c>
      <c r="W267" s="18">
        <f t="shared" si="709"/>
        <v>48854.419999997292</v>
      </c>
      <c r="X267" s="18">
        <f t="shared" si="710"/>
        <v>59925.150000001537</v>
      </c>
      <c r="Y267" s="18">
        <f t="shared" si="711"/>
        <v>57024.999999997759</v>
      </c>
      <c r="Z267" s="18">
        <f t="shared" si="710"/>
        <v>47783.999999998239</v>
      </c>
      <c r="AA267" s="18">
        <f t="shared" ref="AA267:AB267" si="794">AA266+(AA$234-AA$233)/2</f>
        <v>55608.000000002241</v>
      </c>
      <c r="AB267" s="18">
        <f t="shared" si="794"/>
        <v>70719</v>
      </c>
      <c r="AC267" s="18">
        <f t="shared" si="679"/>
        <v>37100</v>
      </c>
      <c r="AD267" s="18">
        <f t="shared" si="766"/>
        <v>47700</v>
      </c>
      <c r="AE267" s="18">
        <f t="shared" si="767"/>
        <v>55650</v>
      </c>
      <c r="AF267" s="18">
        <f t="shared" si="768"/>
        <v>63600</v>
      </c>
      <c r="AG267" s="18">
        <f t="shared" si="769"/>
        <v>79500</v>
      </c>
      <c r="AH267" s="18">
        <f t="shared" si="769"/>
        <v>50350</v>
      </c>
      <c r="AI267" s="18">
        <f t="shared" si="769"/>
        <v>60420</v>
      </c>
      <c r="AJ267" s="18">
        <f t="shared" si="769"/>
        <v>66250</v>
      </c>
      <c r="AK267" s="18">
        <f t="shared" si="769"/>
        <v>76850</v>
      </c>
      <c r="AL267" s="18">
        <f t="shared" si="770"/>
        <v>58300</v>
      </c>
      <c r="AM267" s="18">
        <f t="shared" si="771"/>
        <v>66250</v>
      </c>
      <c r="AN267" s="18">
        <f t="shared" si="772"/>
        <v>75790</v>
      </c>
      <c r="AO267" s="18">
        <f t="shared" si="773"/>
        <v>119250</v>
      </c>
      <c r="AP267" s="18">
        <f t="shared" si="774"/>
        <v>127200</v>
      </c>
      <c r="AQ267" s="18">
        <f t="shared" si="775"/>
        <v>143100</v>
      </c>
      <c r="AR267" s="18">
        <f t="shared" si="776"/>
        <v>390080</v>
      </c>
      <c r="AS267" s="18">
        <f t="shared" si="690"/>
        <v>0</v>
      </c>
      <c r="AT267" s="184" t="str">
        <f t="shared" si="714"/>
        <v/>
      </c>
      <c r="AU267" s="184" t="str">
        <f t="shared" si="715"/>
        <v/>
      </c>
      <c r="AV267" s="184" t="str">
        <f t="shared" si="716"/>
        <v/>
      </c>
      <c r="AW267" s="184" t="str">
        <f t="shared" si="717"/>
        <v/>
      </c>
      <c r="AX267" s="184" t="str">
        <f t="shared" si="718"/>
        <v/>
      </c>
      <c r="AY267" s="184" t="str">
        <f t="shared" si="719"/>
        <v/>
      </c>
      <c r="AZ267" s="184" t="str">
        <f t="shared" si="720"/>
        <v/>
      </c>
      <c r="BA267" s="184" t="str">
        <f t="shared" si="721"/>
        <v/>
      </c>
      <c r="BB267" s="184" t="str">
        <f t="shared" si="722"/>
        <v/>
      </c>
      <c r="BC267" s="184" t="str">
        <f t="shared" si="723"/>
        <v/>
      </c>
      <c r="BD267" s="184" t="str">
        <f t="shared" si="724"/>
        <v/>
      </c>
      <c r="BE267" s="184" t="str">
        <f t="shared" si="725"/>
        <v/>
      </c>
      <c r="BF267" s="184" t="str">
        <f t="shared" si="726"/>
        <v/>
      </c>
      <c r="BG267" s="184" t="str">
        <f t="shared" si="727"/>
        <v/>
      </c>
      <c r="BH267" s="184" t="str">
        <f t="shared" si="728"/>
        <v/>
      </c>
      <c r="BI267" s="184" t="str">
        <f t="shared" si="729"/>
        <v/>
      </c>
      <c r="BJ267" s="184" t="str">
        <f t="shared" si="730"/>
        <v/>
      </c>
      <c r="BK267" s="184" t="str">
        <f t="shared" si="731"/>
        <v/>
      </c>
      <c r="BL267" s="184" t="str">
        <f t="shared" si="732"/>
        <v/>
      </c>
      <c r="BM267" s="184" t="str">
        <f t="shared" si="733"/>
        <v/>
      </c>
      <c r="BN267" s="184" t="str">
        <f t="shared" si="734"/>
        <v/>
      </c>
      <c r="BO267" s="184" t="str">
        <f t="shared" si="735"/>
        <v/>
      </c>
      <c r="BP267" s="184" t="str">
        <f t="shared" si="736"/>
        <v/>
      </c>
      <c r="BQ267" s="184" t="str">
        <f t="shared" si="737"/>
        <v/>
      </c>
      <c r="BR267" s="184" t="str">
        <f t="shared" si="789"/>
        <v/>
      </c>
      <c r="BS267" s="184" t="str">
        <f t="shared" si="789"/>
        <v/>
      </c>
      <c r="BT267" s="184" t="str">
        <f t="shared" si="789"/>
        <v/>
      </c>
      <c r="BU267" s="184" t="str">
        <f t="shared" si="739"/>
        <v/>
      </c>
      <c r="BV267" s="184" t="str">
        <f t="shared" si="740"/>
        <v/>
      </c>
      <c r="BW267" s="184" t="str">
        <f t="shared" si="741"/>
        <v/>
      </c>
      <c r="BX267" s="184" t="str">
        <f t="shared" si="742"/>
        <v/>
      </c>
      <c r="BY267" s="184" t="str">
        <f t="shared" si="743"/>
        <v/>
      </c>
      <c r="BZ267" s="184" t="str">
        <f t="shared" si="744"/>
        <v/>
      </c>
      <c r="CA267" s="184" t="str">
        <f t="shared" si="745"/>
        <v/>
      </c>
      <c r="CB267" s="184" t="str">
        <f t="shared" si="746"/>
        <v/>
      </c>
      <c r="CC267" s="184" t="str">
        <f t="shared" si="747"/>
        <v/>
      </c>
      <c r="CD267" s="184" t="str">
        <f t="shared" si="748"/>
        <v/>
      </c>
      <c r="CE267" s="184" t="str">
        <f t="shared" si="749"/>
        <v/>
      </c>
      <c r="CF267" s="184" t="str">
        <f t="shared" si="750"/>
        <v/>
      </c>
      <c r="CG267" s="184" t="str">
        <f t="shared" si="751"/>
        <v/>
      </c>
      <c r="CH267" s="184" t="str">
        <f t="shared" si="752"/>
        <v/>
      </c>
      <c r="CI267" s="184" t="str">
        <f t="shared" si="753"/>
        <v/>
      </c>
      <c r="CJ267" s="184" t="str">
        <f t="shared" si="754"/>
        <v/>
      </c>
      <c r="CK267" s="184"/>
      <c r="CM267" s="184"/>
      <c r="CN267"/>
      <c r="CP267"/>
      <c r="CR267"/>
      <c r="CT267"/>
      <c r="CV267"/>
      <c r="CX267"/>
      <c r="CZ267"/>
      <c r="DB267"/>
      <c r="DD267"/>
      <c r="DF267"/>
      <c r="ED267" s="184"/>
      <c r="EF267" s="184"/>
      <c r="EH267" s="184"/>
      <c r="EJ267" s="184"/>
      <c r="EL267" s="184"/>
      <c r="EN267" s="184"/>
      <c r="EP267" s="184"/>
      <c r="ER267" s="184"/>
      <c r="ET267" s="184"/>
      <c r="EV267" s="184"/>
      <c r="EX267" s="184"/>
      <c r="EZ267" s="184"/>
      <c r="FB267" s="184"/>
    </row>
    <row r="268" spans="1:158">
      <c r="A268" s="184">
        <f t="shared" si="784"/>
        <v>64</v>
      </c>
      <c r="B268" s="18">
        <f t="shared" si="678"/>
        <v>12090</v>
      </c>
      <c r="C268" s="18">
        <f t="shared" si="755"/>
        <v>14903.333333333911</v>
      </c>
      <c r="D268" s="18">
        <f t="shared" si="756"/>
        <v>19728.333333333416</v>
      </c>
      <c r="E268" s="18">
        <f t="shared" si="691"/>
        <v>24008.333333332921</v>
      </c>
      <c r="F268" s="18">
        <f t="shared" si="692"/>
        <v>12231.666666666461</v>
      </c>
      <c r="G268" s="18">
        <f t="shared" si="693"/>
        <v>15101.666666666089</v>
      </c>
      <c r="H268" s="18">
        <f t="shared" si="694"/>
        <v>19700</v>
      </c>
      <c r="I268" s="18">
        <f t="shared" si="695"/>
        <v>12118.333333333601</v>
      </c>
      <c r="J268" s="18">
        <f t="shared" si="696"/>
        <v>15986.666666666089</v>
      </c>
      <c r="K268" s="18">
        <f t="shared" si="697"/>
        <v>19898.333333333539</v>
      </c>
      <c r="L268" s="18">
        <f t="shared" si="698"/>
        <v>23923.333333332797</v>
      </c>
      <c r="M268" s="18">
        <f t="shared" si="699"/>
        <v>30886.666666667821</v>
      </c>
      <c r="N268" s="18">
        <f t="shared" si="700"/>
        <v>15035</v>
      </c>
      <c r="O268" s="18">
        <f t="shared" si="701"/>
        <v>19828.333333333416</v>
      </c>
      <c r="P268" s="18">
        <f t="shared" si="702"/>
        <v>22175</v>
      </c>
      <c r="Q268" s="18">
        <f t="shared" si="703"/>
        <v>26926.666666667821</v>
      </c>
      <c r="R268" s="18">
        <f t="shared" si="704"/>
        <v>40385</v>
      </c>
      <c r="S268" s="18">
        <f t="shared" si="705"/>
        <v>23841.666666667574</v>
      </c>
      <c r="T268" s="18">
        <f t="shared" si="706"/>
        <v>26940.833333332179</v>
      </c>
      <c r="U268" s="18">
        <f t="shared" si="707"/>
        <v>30658.246666666302</v>
      </c>
      <c r="V268" s="18">
        <f t="shared" si="708"/>
        <v>38998.799999998417</v>
      </c>
      <c r="W268" s="18">
        <f t="shared" si="709"/>
        <v>48965.15999999721</v>
      </c>
      <c r="X268" s="18">
        <f t="shared" si="710"/>
        <v>60104.700000001583</v>
      </c>
      <c r="Y268" s="18">
        <f t="shared" si="711"/>
        <v>57116.666666664358</v>
      </c>
      <c r="Z268" s="18">
        <f t="shared" si="710"/>
        <v>47898.666666664853</v>
      </c>
      <c r="AA268" s="18">
        <f t="shared" ref="AA268:AB268" si="795">AA267+(AA$234-AA$233)/2</f>
        <v>55717.333333335642</v>
      </c>
      <c r="AB268" s="18">
        <f t="shared" si="795"/>
        <v>70862</v>
      </c>
      <c r="AC268" s="18">
        <f t="shared" si="679"/>
        <v>37800</v>
      </c>
      <c r="AD268" s="18">
        <f t="shared" si="766"/>
        <v>48600</v>
      </c>
      <c r="AE268" s="18">
        <f t="shared" si="767"/>
        <v>56700</v>
      </c>
      <c r="AF268" s="18">
        <f t="shared" si="768"/>
        <v>64800</v>
      </c>
      <c r="AG268" s="18">
        <f t="shared" si="769"/>
        <v>81000</v>
      </c>
      <c r="AH268" s="18">
        <f t="shared" si="769"/>
        <v>51300</v>
      </c>
      <c r="AI268" s="18">
        <f t="shared" si="769"/>
        <v>61560</v>
      </c>
      <c r="AJ268" s="18">
        <f t="shared" si="769"/>
        <v>67500</v>
      </c>
      <c r="AK268" s="18">
        <f t="shared" si="769"/>
        <v>78300</v>
      </c>
      <c r="AL268" s="18">
        <f t="shared" si="770"/>
        <v>59400</v>
      </c>
      <c r="AM268" s="18">
        <f t="shared" si="771"/>
        <v>67500</v>
      </c>
      <c r="AN268" s="18">
        <f t="shared" si="772"/>
        <v>77220</v>
      </c>
      <c r="AO268" s="18">
        <f t="shared" si="773"/>
        <v>121500</v>
      </c>
      <c r="AP268" s="18">
        <f t="shared" si="774"/>
        <v>129600</v>
      </c>
      <c r="AQ268" s="18">
        <f t="shared" si="775"/>
        <v>145800</v>
      </c>
      <c r="AR268" s="18">
        <f t="shared" si="776"/>
        <v>397440</v>
      </c>
      <c r="AS268" s="18">
        <f t="shared" si="690"/>
        <v>0</v>
      </c>
      <c r="AT268" s="184" t="str">
        <f t="shared" si="714"/>
        <v/>
      </c>
      <c r="AU268" s="184" t="str">
        <f t="shared" si="715"/>
        <v/>
      </c>
      <c r="AV268" s="184" t="str">
        <f t="shared" si="716"/>
        <v/>
      </c>
      <c r="AW268" s="184" t="str">
        <f t="shared" si="717"/>
        <v/>
      </c>
      <c r="AX268" s="184" t="str">
        <f t="shared" si="718"/>
        <v/>
      </c>
      <c r="AY268" s="184" t="str">
        <f t="shared" si="719"/>
        <v/>
      </c>
      <c r="AZ268" s="184" t="str">
        <f t="shared" si="720"/>
        <v/>
      </c>
      <c r="BA268" s="184" t="str">
        <f t="shared" si="721"/>
        <v/>
      </c>
      <c r="BB268" s="184" t="str">
        <f t="shared" si="722"/>
        <v/>
      </c>
      <c r="BC268" s="184" t="str">
        <f t="shared" si="723"/>
        <v/>
      </c>
      <c r="BD268" s="184" t="str">
        <f t="shared" si="724"/>
        <v/>
      </c>
      <c r="BE268" s="184" t="str">
        <f t="shared" si="725"/>
        <v/>
      </c>
      <c r="BF268" s="184" t="str">
        <f t="shared" si="726"/>
        <v/>
      </c>
      <c r="BG268" s="184" t="str">
        <f t="shared" si="727"/>
        <v/>
      </c>
      <c r="BH268" s="184" t="str">
        <f t="shared" si="728"/>
        <v/>
      </c>
      <c r="BI268" s="184" t="str">
        <f t="shared" si="729"/>
        <v/>
      </c>
      <c r="BJ268" s="184" t="str">
        <f t="shared" si="730"/>
        <v/>
      </c>
      <c r="BK268" s="184" t="str">
        <f t="shared" si="731"/>
        <v/>
      </c>
      <c r="BL268" s="184" t="str">
        <f t="shared" si="732"/>
        <v/>
      </c>
      <c r="BM268" s="184" t="str">
        <f t="shared" si="733"/>
        <v/>
      </c>
      <c r="BN268" s="184" t="str">
        <f t="shared" si="734"/>
        <v/>
      </c>
      <c r="BO268" s="184" t="str">
        <f t="shared" si="735"/>
        <v/>
      </c>
      <c r="BP268" s="184" t="str">
        <f t="shared" si="736"/>
        <v/>
      </c>
      <c r="BQ268" s="184" t="str">
        <f t="shared" si="737"/>
        <v/>
      </c>
      <c r="BR268" s="184" t="str">
        <f t="shared" si="789"/>
        <v/>
      </c>
      <c r="BS268" s="184" t="str">
        <f t="shared" si="789"/>
        <v/>
      </c>
      <c r="BT268" s="184" t="str">
        <f t="shared" si="789"/>
        <v/>
      </c>
      <c r="BU268" s="184" t="str">
        <f t="shared" si="739"/>
        <v/>
      </c>
      <c r="BV268" s="184" t="str">
        <f t="shared" si="740"/>
        <v/>
      </c>
      <c r="BW268" s="184" t="str">
        <f t="shared" si="741"/>
        <v/>
      </c>
      <c r="BX268" s="184" t="str">
        <f t="shared" si="742"/>
        <v/>
      </c>
      <c r="BY268" s="184" t="str">
        <f t="shared" si="743"/>
        <v/>
      </c>
      <c r="BZ268" s="184" t="str">
        <f t="shared" si="744"/>
        <v/>
      </c>
      <c r="CA268" s="184" t="str">
        <f t="shared" si="745"/>
        <v/>
      </c>
      <c r="CB268" s="184" t="str">
        <f t="shared" si="746"/>
        <v/>
      </c>
      <c r="CC268" s="184" t="str">
        <f t="shared" si="747"/>
        <v/>
      </c>
      <c r="CD268" s="184" t="str">
        <f t="shared" si="748"/>
        <v/>
      </c>
      <c r="CE268" s="184" t="str">
        <f t="shared" si="749"/>
        <v/>
      </c>
      <c r="CF268" s="184" t="str">
        <f t="shared" si="750"/>
        <v/>
      </c>
      <c r="CG268" s="184" t="str">
        <f t="shared" si="751"/>
        <v/>
      </c>
      <c r="CH268" s="184" t="str">
        <f t="shared" si="752"/>
        <v/>
      </c>
      <c r="CI268" s="184" t="str">
        <f t="shared" si="753"/>
        <v/>
      </c>
      <c r="CJ268" s="184" t="str">
        <f t="shared" si="754"/>
        <v/>
      </c>
      <c r="CK268" s="184"/>
      <c r="CM268" s="184"/>
      <c r="CN268"/>
      <c r="CP268"/>
      <c r="CR268"/>
      <c r="CT268"/>
      <c r="CV268"/>
      <c r="CX268"/>
      <c r="CZ268"/>
      <c r="DB268"/>
      <c r="DD268"/>
      <c r="DF268"/>
      <c r="ED268" s="184"/>
      <c r="EF268" s="184"/>
      <c r="EH268" s="184"/>
      <c r="EJ268" s="184"/>
      <c r="EL268" s="184"/>
      <c r="EN268" s="184"/>
      <c r="EP268" s="184"/>
      <c r="ER268" s="184"/>
      <c r="ET268" s="184"/>
      <c r="EV268" s="184"/>
      <c r="EX268" s="184"/>
      <c r="EZ268" s="184"/>
      <c r="FB268" s="184"/>
    </row>
    <row r="269" spans="1:158">
      <c r="A269" s="184">
        <f t="shared" si="784"/>
        <v>64.5</v>
      </c>
      <c r="B269" s="18">
        <f t="shared" si="678"/>
        <v>12125</v>
      </c>
      <c r="C269" s="18">
        <f t="shared" si="755"/>
        <v>14941.666666667261</v>
      </c>
      <c r="D269" s="18">
        <f t="shared" si="756"/>
        <v>19779.166666666752</v>
      </c>
      <c r="E269" s="18">
        <f t="shared" si="691"/>
        <v>24079.166666666242</v>
      </c>
      <c r="F269" s="18">
        <f t="shared" si="692"/>
        <v>12270.833333333121</v>
      </c>
      <c r="G269" s="18">
        <f t="shared" si="693"/>
        <v>15145.833333332739</v>
      </c>
      <c r="H269" s="18">
        <f t="shared" si="694"/>
        <v>19750</v>
      </c>
      <c r="I269" s="18">
        <f t="shared" si="695"/>
        <v>12154.166666666943</v>
      </c>
      <c r="J269" s="18">
        <f t="shared" si="696"/>
        <v>16033.333333332739</v>
      </c>
      <c r="K269" s="18">
        <f t="shared" si="697"/>
        <v>19954.166666666879</v>
      </c>
      <c r="L269" s="18">
        <f t="shared" si="698"/>
        <v>23991.666666666115</v>
      </c>
      <c r="M269" s="18">
        <f t="shared" si="699"/>
        <v>30983.333333334522</v>
      </c>
      <c r="N269" s="18">
        <f t="shared" si="700"/>
        <v>15062.5</v>
      </c>
      <c r="O269" s="18">
        <f t="shared" si="701"/>
        <v>19879.166666666752</v>
      </c>
      <c r="P269" s="18">
        <f t="shared" si="702"/>
        <v>22212.5</v>
      </c>
      <c r="Q269" s="18">
        <f t="shared" si="703"/>
        <v>26983.333333334522</v>
      </c>
      <c r="R269" s="18">
        <f t="shared" si="704"/>
        <v>40487.5</v>
      </c>
      <c r="S269" s="18">
        <f t="shared" si="705"/>
        <v>23895.833333334267</v>
      </c>
      <c r="T269" s="18">
        <f t="shared" si="706"/>
        <v>26997.916666665478</v>
      </c>
      <c r="U269" s="18">
        <f t="shared" si="707"/>
        <v>30718.783333332958</v>
      </c>
      <c r="V269" s="18">
        <f t="shared" si="708"/>
        <v>39086.99999999837</v>
      </c>
      <c r="W269" s="18">
        <f t="shared" si="709"/>
        <v>49075.899999997127</v>
      </c>
      <c r="X269" s="18">
        <f t="shared" si="710"/>
        <v>60284.25000000163</v>
      </c>
      <c r="Y269" s="18">
        <f t="shared" si="711"/>
        <v>57208.333333330957</v>
      </c>
      <c r="Z269" s="18">
        <f t="shared" si="710"/>
        <v>48013.333333331466</v>
      </c>
      <c r="AA269" s="18">
        <f t="shared" ref="AA269:AB269" si="796">AA268+(AA$234-AA$233)/2</f>
        <v>55826.666666669043</v>
      </c>
      <c r="AB269" s="18">
        <f t="shared" si="796"/>
        <v>71005</v>
      </c>
      <c r="AC269" s="18">
        <f t="shared" si="679"/>
        <v>38500</v>
      </c>
      <c r="AD269" s="18">
        <f t="shared" si="766"/>
        <v>49500</v>
      </c>
      <c r="AE269" s="18">
        <f t="shared" si="767"/>
        <v>57750</v>
      </c>
      <c r="AF269" s="18">
        <f t="shared" si="768"/>
        <v>66000</v>
      </c>
      <c r="AG269" s="18">
        <f t="shared" si="769"/>
        <v>82500</v>
      </c>
      <c r="AH269" s="18">
        <f t="shared" si="769"/>
        <v>52250</v>
      </c>
      <c r="AI269" s="18">
        <f t="shared" si="769"/>
        <v>62700</v>
      </c>
      <c r="AJ269" s="18">
        <f t="shared" si="769"/>
        <v>68750</v>
      </c>
      <c r="AK269" s="18">
        <f t="shared" si="769"/>
        <v>79750</v>
      </c>
      <c r="AL269" s="18">
        <f t="shared" si="770"/>
        <v>60500</v>
      </c>
      <c r="AM269" s="18">
        <f t="shared" si="771"/>
        <v>68750</v>
      </c>
      <c r="AN269" s="18">
        <f t="shared" si="772"/>
        <v>78650</v>
      </c>
      <c r="AO269" s="18">
        <f t="shared" si="773"/>
        <v>123750</v>
      </c>
      <c r="AP269" s="18">
        <f t="shared" si="774"/>
        <v>132000</v>
      </c>
      <c r="AQ269" s="18">
        <f t="shared" si="775"/>
        <v>148500</v>
      </c>
      <c r="AR269" s="18">
        <f t="shared" si="776"/>
        <v>404800</v>
      </c>
      <c r="AS269" s="18">
        <f t="shared" si="690"/>
        <v>0</v>
      </c>
      <c r="AT269" s="184" t="str">
        <f t="shared" si="714"/>
        <v/>
      </c>
      <c r="AU269" s="184" t="str">
        <f t="shared" si="715"/>
        <v/>
      </c>
      <c r="AV269" s="184" t="str">
        <f t="shared" si="716"/>
        <v/>
      </c>
      <c r="AW269" s="184" t="str">
        <f t="shared" si="717"/>
        <v/>
      </c>
      <c r="AX269" s="184" t="str">
        <f t="shared" si="718"/>
        <v/>
      </c>
      <c r="AY269" s="184" t="str">
        <f t="shared" si="719"/>
        <v/>
      </c>
      <c r="AZ269" s="184" t="str">
        <f t="shared" si="720"/>
        <v/>
      </c>
      <c r="BA269" s="184" t="str">
        <f t="shared" si="721"/>
        <v/>
      </c>
      <c r="BB269" s="184" t="str">
        <f t="shared" si="722"/>
        <v/>
      </c>
      <c r="BC269" s="184" t="str">
        <f t="shared" si="723"/>
        <v/>
      </c>
      <c r="BD269" s="184" t="str">
        <f t="shared" si="724"/>
        <v/>
      </c>
      <c r="BE269" s="184" t="str">
        <f t="shared" si="725"/>
        <v/>
      </c>
      <c r="BF269" s="184" t="str">
        <f t="shared" si="726"/>
        <v/>
      </c>
      <c r="BG269" s="184" t="str">
        <f t="shared" si="727"/>
        <v/>
      </c>
      <c r="BH269" s="184" t="str">
        <f t="shared" si="728"/>
        <v/>
      </c>
      <c r="BI269" s="184" t="str">
        <f t="shared" si="729"/>
        <v/>
      </c>
      <c r="BJ269" s="184" t="str">
        <f t="shared" si="730"/>
        <v/>
      </c>
      <c r="BK269" s="184" t="str">
        <f t="shared" si="731"/>
        <v/>
      </c>
      <c r="BL269" s="184" t="str">
        <f t="shared" si="732"/>
        <v/>
      </c>
      <c r="BM269" s="184" t="str">
        <f t="shared" si="733"/>
        <v/>
      </c>
      <c r="BN269" s="184" t="str">
        <f t="shared" si="734"/>
        <v/>
      </c>
      <c r="BO269" s="184" t="str">
        <f t="shared" si="735"/>
        <v/>
      </c>
      <c r="BP269" s="184" t="str">
        <f t="shared" si="736"/>
        <v/>
      </c>
      <c r="BQ269" s="184" t="str">
        <f t="shared" si="737"/>
        <v/>
      </c>
      <c r="BR269" s="184" t="str">
        <f t="shared" si="789"/>
        <v/>
      </c>
      <c r="BS269" s="184" t="str">
        <f t="shared" si="789"/>
        <v/>
      </c>
      <c r="BT269" s="184" t="str">
        <f t="shared" si="789"/>
        <v/>
      </c>
      <c r="BU269" s="184" t="str">
        <f t="shared" si="739"/>
        <v/>
      </c>
      <c r="BV269" s="184" t="str">
        <f t="shared" si="740"/>
        <v/>
      </c>
      <c r="BW269" s="184" t="str">
        <f t="shared" si="741"/>
        <v/>
      </c>
      <c r="BX269" s="184" t="str">
        <f t="shared" si="742"/>
        <v/>
      </c>
      <c r="BY269" s="184" t="str">
        <f t="shared" si="743"/>
        <v/>
      </c>
      <c r="BZ269" s="184" t="str">
        <f t="shared" si="744"/>
        <v/>
      </c>
      <c r="CA269" s="184" t="str">
        <f t="shared" si="745"/>
        <v/>
      </c>
      <c r="CB269" s="184" t="str">
        <f t="shared" si="746"/>
        <v/>
      </c>
      <c r="CC269" s="184" t="str">
        <f t="shared" si="747"/>
        <v/>
      </c>
      <c r="CD269" s="184" t="str">
        <f t="shared" si="748"/>
        <v/>
      </c>
      <c r="CE269" s="184" t="str">
        <f t="shared" si="749"/>
        <v/>
      </c>
      <c r="CF269" s="184" t="str">
        <f t="shared" si="750"/>
        <v/>
      </c>
      <c r="CG269" s="184" t="str">
        <f t="shared" si="751"/>
        <v/>
      </c>
      <c r="CH269" s="184" t="str">
        <f t="shared" si="752"/>
        <v/>
      </c>
      <c r="CI269" s="184" t="str">
        <f t="shared" si="753"/>
        <v/>
      </c>
      <c r="CJ269" s="184" t="str">
        <f t="shared" si="754"/>
        <v/>
      </c>
      <c r="CK269" s="184"/>
      <c r="CM269" s="184"/>
      <c r="CN269"/>
      <c r="CP269"/>
      <c r="CR269"/>
      <c r="CT269"/>
      <c r="CV269"/>
      <c r="CX269"/>
      <c r="CZ269"/>
      <c r="DB269"/>
      <c r="DD269"/>
      <c r="DF269"/>
      <c r="ED269" s="184"/>
      <c r="EF269" s="184"/>
      <c r="EH269" s="184"/>
      <c r="EJ269" s="184"/>
      <c r="EL269" s="184"/>
      <c r="EN269" s="184"/>
      <c r="EP269" s="184"/>
      <c r="ER269" s="184"/>
      <c r="ET269" s="184"/>
      <c r="EV269" s="184"/>
      <c r="EX269" s="184"/>
      <c r="EZ269" s="184"/>
      <c r="FB269" s="184"/>
    </row>
    <row r="270" spans="1:158">
      <c r="A270" s="184">
        <f t="shared" si="784"/>
        <v>65</v>
      </c>
      <c r="B270" s="18">
        <f t="shared" si="678"/>
        <v>12160</v>
      </c>
      <c r="C270" s="18">
        <f t="shared" si="755"/>
        <v>14980.000000000611</v>
      </c>
      <c r="D270" s="18">
        <f t="shared" si="756"/>
        <v>19830.000000000087</v>
      </c>
      <c r="E270" s="18">
        <f t="shared" si="691"/>
        <v>24149.999999999563</v>
      </c>
      <c r="F270" s="18">
        <f t="shared" si="692"/>
        <v>12309.999999999782</v>
      </c>
      <c r="G270" s="18">
        <f t="shared" si="693"/>
        <v>15189.999999999389</v>
      </c>
      <c r="H270" s="18">
        <f t="shared" si="694"/>
        <v>19800</v>
      </c>
      <c r="I270" s="18">
        <f t="shared" si="695"/>
        <v>12190.000000000284</v>
      </c>
      <c r="J270" s="18">
        <f t="shared" si="696"/>
        <v>16079.999999999389</v>
      </c>
      <c r="K270" s="18">
        <f t="shared" si="697"/>
        <v>20010.000000000218</v>
      </c>
      <c r="L270" s="18">
        <f t="shared" si="698"/>
        <v>24059.999999999432</v>
      </c>
      <c r="M270" s="18">
        <f t="shared" si="699"/>
        <v>31080.000000001222</v>
      </c>
      <c r="N270" s="18">
        <f t="shared" si="700"/>
        <v>15090</v>
      </c>
      <c r="O270" s="18">
        <f t="shared" si="701"/>
        <v>19930.000000000087</v>
      </c>
      <c r="P270" s="18">
        <f t="shared" si="702"/>
        <v>22250</v>
      </c>
      <c r="Q270" s="18">
        <f t="shared" si="703"/>
        <v>27040.000000001222</v>
      </c>
      <c r="R270" s="18">
        <f t="shared" si="704"/>
        <v>40590</v>
      </c>
      <c r="S270" s="18">
        <f t="shared" si="705"/>
        <v>23950.00000000096</v>
      </c>
      <c r="T270" s="18">
        <f t="shared" si="706"/>
        <v>27054.999999998778</v>
      </c>
      <c r="U270" s="18">
        <f t="shared" si="707"/>
        <v>30779.319999999614</v>
      </c>
      <c r="V270" s="18">
        <f t="shared" si="708"/>
        <v>39175.199999998324</v>
      </c>
      <c r="W270" s="18">
        <f t="shared" si="709"/>
        <v>49186.639999997045</v>
      </c>
      <c r="X270" s="18">
        <f t="shared" si="710"/>
        <v>60463.800000001676</v>
      </c>
      <c r="Y270" s="18">
        <f t="shared" si="711"/>
        <v>57299.999999997555</v>
      </c>
      <c r="Z270" s="18">
        <f t="shared" si="710"/>
        <v>48127.999999998079</v>
      </c>
      <c r="AA270" s="18">
        <f t="shared" ref="AA270:AB270" si="797">AA269+(AA$234-AA$233)/2</f>
        <v>55936.000000002445</v>
      </c>
      <c r="AB270" s="18">
        <f t="shared" si="797"/>
        <v>71148</v>
      </c>
      <c r="AC270" s="18">
        <f t="shared" si="679"/>
        <v>39200</v>
      </c>
      <c r="AD270" s="18">
        <f t="shared" si="766"/>
        <v>50400</v>
      </c>
      <c r="AE270" s="18">
        <f t="shared" si="767"/>
        <v>58800</v>
      </c>
      <c r="AF270" s="18">
        <f t="shared" si="768"/>
        <v>67200</v>
      </c>
      <c r="AG270" s="18">
        <f t="shared" si="769"/>
        <v>84000</v>
      </c>
      <c r="AH270" s="18">
        <f t="shared" si="769"/>
        <v>53200</v>
      </c>
      <c r="AI270" s="18">
        <f t="shared" si="769"/>
        <v>63840</v>
      </c>
      <c r="AJ270" s="18">
        <f t="shared" si="769"/>
        <v>70000</v>
      </c>
      <c r="AK270" s="18">
        <f t="shared" si="769"/>
        <v>81200</v>
      </c>
      <c r="AL270" s="18">
        <f t="shared" si="770"/>
        <v>61600</v>
      </c>
      <c r="AM270" s="18">
        <f t="shared" si="771"/>
        <v>70000</v>
      </c>
      <c r="AN270" s="18">
        <f t="shared" si="772"/>
        <v>80080</v>
      </c>
      <c r="AO270" s="18">
        <f t="shared" si="773"/>
        <v>126000</v>
      </c>
      <c r="AP270" s="18">
        <f t="shared" si="774"/>
        <v>134400</v>
      </c>
      <c r="AQ270" s="18">
        <f t="shared" si="775"/>
        <v>151200</v>
      </c>
      <c r="AR270" s="18">
        <f t="shared" si="776"/>
        <v>412160</v>
      </c>
      <c r="AS270" s="18">
        <f t="shared" si="690"/>
        <v>0</v>
      </c>
      <c r="AT270" s="184" t="str">
        <f t="shared" si="714"/>
        <v/>
      </c>
      <c r="AU270" s="184" t="str">
        <f t="shared" si="715"/>
        <v/>
      </c>
      <c r="AV270" s="184" t="str">
        <f t="shared" si="716"/>
        <v/>
      </c>
      <c r="AW270" s="184" t="str">
        <f t="shared" si="717"/>
        <v/>
      </c>
      <c r="AX270" s="184" t="str">
        <f t="shared" si="718"/>
        <v/>
      </c>
      <c r="AY270" s="184" t="str">
        <f t="shared" si="719"/>
        <v/>
      </c>
      <c r="AZ270" s="184" t="str">
        <f t="shared" si="720"/>
        <v/>
      </c>
      <c r="BA270" s="184" t="str">
        <f t="shared" si="721"/>
        <v/>
      </c>
      <c r="BB270" s="184" t="str">
        <f t="shared" si="722"/>
        <v/>
      </c>
      <c r="BC270" s="184" t="str">
        <f t="shared" si="723"/>
        <v/>
      </c>
      <c r="BD270" s="184" t="str">
        <f t="shared" si="724"/>
        <v/>
      </c>
      <c r="BE270" s="184" t="str">
        <f t="shared" si="725"/>
        <v/>
      </c>
      <c r="BF270" s="184" t="str">
        <f t="shared" si="726"/>
        <v/>
      </c>
      <c r="BG270" s="184" t="str">
        <f t="shared" si="727"/>
        <v/>
      </c>
      <c r="BH270" s="184" t="str">
        <f t="shared" si="728"/>
        <v/>
      </c>
      <c r="BI270" s="184" t="str">
        <f t="shared" si="729"/>
        <v/>
      </c>
      <c r="BJ270" s="184" t="str">
        <f t="shared" si="730"/>
        <v/>
      </c>
      <c r="BK270" s="184" t="str">
        <f t="shared" si="731"/>
        <v/>
      </c>
      <c r="BL270" s="184" t="str">
        <f t="shared" si="732"/>
        <v/>
      </c>
      <c r="BM270" s="184" t="str">
        <f t="shared" si="733"/>
        <v/>
      </c>
      <c r="BN270" s="184" t="str">
        <f t="shared" si="734"/>
        <v/>
      </c>
      <c r="BO270" s="184" t="str">
        <f t="shared" si="735"/>
        <v/>
      </c>
      <c r="BP270" s="184" t="str">
        <f t="shared" si="736"/>
        <v/>
      </c>
      <c r="BQ270" s="184" t="str">
        <f t="shared" si="737"/>
        <v/>
      </c>
      <c r="BR270" s="184" t="str">
        <f t="shared" si="789"/>
        <v/>
      </c>
      <c r="BS270" s="184" t="str">
        <f t="shared" si="789"/>
        <v/>
      </c>
      <c r="BT270" s="184" t="str">
        <f t="shared" si="789"/>
        <v/>
      </c>
      <c r="BU270" s="184" t="str">
        <f t="shared" si="739"/>
        <v/>
      </c>
      <c r="BV270" s="184" t="str">
        <f t="shared" si="740"/>
        <v/>
      </c>
      <c r="BW270" s="184" t="str">
        <f t="shared" si="741"/>
        <v/>
      </c>
      <c r="BX270" s="184" t="str">
        <f t="shared" si="742"/>
        <v/>
      </c>
      <c r="BY270" s="184" t="str">
        <f t="shared" si="743"/>
        <v/>
      </c>
      <c r="BZ270" s="184" t="str">
        <f t="shared" si="744"/>
        <v/>
      </c>
      <c r="CA270" s="184" t="str">
        <f t="shared" si="745"/>
        <v/>
      </c>
      <c r="CB270" s="184" t="str">
        <f t="shared" si="746"/>
        <v/>
      </c>
      <c r="CC270" s="184" t="str">
        <f t="shared" si="747"/>
        <v/>
      </c>
      <c r="CD270" s="184" t="str">
        <f t="shared" si="748"/>
        <v/>
      </c>
      <c r="CE270" s="184" t="str">
        <f t="shared" si="749"/>
        <v/>
      </c>
      <c r="CF270" s="184" t="str">
        <f t="shared" si="750"/>
        <v/>
      </c>
      <c r="CG270" s="184" t="str">
        <f t="shared" si="751"/>
        <v/>
      </c>
      <c r="CH270" s="184" t="str">
        <f t="shared" si="752"/>
        <v/>
      </c>
      <c r="CI270" s="184" t="str">
        <f t="shared" si="753"/>
        <v/>
      </c>
      <c r="CJ270" s="184" t="str">
        <f t="shared" si="754"/>
        <v/>
      </c>
      <c r="CK270" s="184"/>
      <c r="CM270" s="184"/>
      <c r="CN270"/>
      <c r="CP270"/>
      <c r="CR270"/>
      <c r="CT270"/>
      <c r="CV270"/>
      <c r="CX270"/>
      <c r="CZ270"/>
      <c r="DB270"/>
      <c r="DD270"/>
      <c r="DF270"/>
      <c r="ED270" s="184"/>
      <c r="EF270" s="184"/>
      <c r="EH270" s="184"/>
      <c r="EJ270" s="184"/>
      <c r="EL270" s="184"/>
      <c r="EN270" s="184"/>
      <c r="EP270" s="184"/>
      <c r="ER270" s="184"/>
      <c r="ET270" s="184"/>
      <c r="EV270" s="184"/>
      <c r="EX270" s="184"/>
      <c r="EZ270" s="184"/>
      <c r="FB270" s="184"/>
    </row>
    <row r="271" spans="1:158">
      <c r="A271" s="184">
        <f t="shared" si="784"/>
        <v>65.5</v>
      </c>
      <c r="B271" s="18">
        <f t="shared" si="678"/>
        <v>12195</v>
      </c>
      <c r="C271" s="18">
        <f t="shared" si="755"/>
        <v>15018.333333333961</v>
      </c>
      <c r="D271" s="18">
        <f t="shared" si="756"/>
        <v>19880.833333333423</v>
      </c>
      <c r="E271" s="18">
        <f t="shared" si="691"/>
        <v>24220.833333332885</v>
      </c>
      <c r="F271" s="18">
        <f t="shared" si="692"/>
        <v>12349.166666666442</v>
      </c>
      <c r="G271" s="18">
        <f t="shared" si="693"/>
        <v>15234.166666666039</v>
      </c>
      <c r="H271" s="18">
        <f t="shared" si="694"/>
        <v>19850</v>
      </c>
      <c r="I271" s="18">
        <f t="shared" si="695"/>
        <v>12225.833333333625</v>
      </c>
      <c r="J271" s="18">
        <f t="shared" si="696"/>
        <v>16126.666666666039</v>
      </c>
      <c r="K271" s="18">
        <f t="shared" si="697"/>
        <v>20065.833333333558</v>
      </c>
      <c r="L271" s="18">
        <f t="shared" si="698"/>
        <v>24128.33333333275</v>
      </c>
      <c r="M271" s="18">
        <f t="shared" si="699"/>
        <v>31176.666666667923</v>
      </c>
      <c r="N271" s="18">
        <f t="shared" si="700"/>
        <v>15117.5</v>
      </c>
      <c r="O271" s="18">
        <f t="shared" si="701"/>
        <v>19980.833333333423</v>
      </c>
      <c r="P271" s="18">
        <f t="shared" si="702"/>
        <v>22287.5</v>
      </c>
      <c r="Q271" s="18">
        <f t="shared" si="703"/>
        <v>27096.666666667923</v>
      </c>
      <c r="R271" s="18">
        <f t="shared" si="704"/>
        <v>40692.5</v>
      </c>
      <c r="S271" s="18">
        <f t="shared" si="705"/>
        <v>24004.166666667654</v>
      </c>
      <c r="T271" s="18">
        <f t="shared" si="706"/>
        <v>27112.083333332077</v>
      </c>
      <c r="U271" s="18">
        <f t="shared" si="707"/>
        <v>30839.85666666627</v>
      </c>
      <c r="V271" s="18">
        <f t="shared" si="708"/>
        <v>39263.399999998277</v>
      </c>
      <c r="W271" s="18">
        <f t="shared" si="709"/>
        <v>49297.379999996963</v>
      </c>
      <c r="X271" s="18">
        <f t="shared" si="710"/>
        <v>60643.350000001723</v>
      </c>
      <c r="Y271" s="18">
        <f t="shared" si="711"/>
        <v>57391.666666664154</v>
      </c>
      <c r="Z271" s="18">
        <f t="shared" si="710"/>
        <v>48242.666666664692</v>
      </c>
      <c r="AA271" s="18">
        <f t="shared" ref="AA271:AB271" si="798">AA270+(AA$234-AA$233)/2</f>
        <v>56045.333333335846</v>
      </c>
      <c r="AB271" s="18">
        <f t="shared" si="798"/>
        <v>71291</v>
      </c>
      <c r="AC271" s="18">
        <f t="shared" si="679"/>
        <v>39900</v>
      </c>
      <c r="AD271" s="18">
        <f t="shared" si="766"/>
        <v>51300</v>
      </c>
      <c r="AE271" s="18">
        <f t="shared" si="767"/>
        <v>59850</v>
      </c>
      <c r="AF271" s="18">
        <f t="shared" si="768"/>
        <v>68400</v>
      </c>
      <c r="AG271" s="18">
        <f t="shared" si="769"/>
        <v>85500</v>
      </c>
      <c r="AH271" s="18">
        <f t="shared" si="769"/>
        <v>54150</v>
      </c>
      <c r="AI271" s="18">
        <f t="shared" si="769"/>
        <v>64980</v>
      </c>
      <c r="AJ271" s="18">
        <f t="shared" si="769"/>
        <v>71250</v>
      </c>
      <c r="AK271" s="18">
        <f t="shared" si="769"/>
        <v>82650</v>
      </c>
      <c r="AL271" s="18">
        <f t="shared" si="770"/>
        <v>62700</v>
      </c>
      <c r="AM271" s="18">
        <f t="shared" si="771"/>
        <v>71250</v>
      </c>
      <c r="AN271" s="18">
        <f t="shared" si="772"/>
        <v>81510</v>
      </c>
      <c r="AO271" s="18">
        <f t="shared" si="773"/>
        <v>128250</v>
      </c>
      <c r="AP271" s="18">
        <f t="shared" si="774"/>
        <v>136800</v>
      </c>
      <c r="AQ271" s="18">
        <f t="shared" si="775"/>
        <v>153900</v>
      </c>
      <c r="AR271" s="18">
        <f t="shared" si="776"/>
        <v>419520</v>
      </c>
      <c r="AS271" s="18">
        <f t="shared" si="690"/>
        <v>0</v>
      </c>
      <c r="AT271" s="184" t="str">
        <f t="shared" si="714"/>
        <v/>
      </c>
      <c r="AU271" s="184" t="str">
        <f t="shared" si="715"/>
        <v/>
      </c>
      <c r="AV271" s="184" t="str">
        <f t="shared" si="716"/>
        <v/>
      </c>
      <c r="AW271" s="184" t="str">
        <f t="shared" si="717"/>
        <v/>
      </c>
      <c r="AX271" s="184" t="str">
        <f t="shared" si="718"/>
        <v/>
      </c>
      <c r="AY271" s="184" t="str">
        <f t="shared" si="719"/>
        <v/>
      </c>
      <c r="AZ271" s="184" t="str">
        <f t="shared" si="720"/>
        <v/>
      </c>
      <c r="BA271" s="184" t="str">
        <f t="shared" si="721"/>
        <v/>
      </c>
      <c r="BB271" s="184" t="str">
        <f t="shared" si="722"/>
        <v/>
      </c>
      <c r="BC271" s="184" t="str">
        <f t="shared" si="723"/>
        <v/>
      </c>
      <c r="BD271" s="184" t="str">
        <f t="shared" si="724"/>
        <v/>
      </c>
      <c r="BE271" s="184" t="str">
        <f t="shared" si="725"/>
        <v/>
      </c>
      <c r="BF271" s="184" t="str">
        <f t="shared" si="726"/>
        <v/>
      </c>
      <c r="BG271" s="184" t="str">
        <f t="shared" si="727"/>
        <v/>
      </c>
      <c r="BH271" s="184" t="str">
        <f t="shared" si="728"/>
        <v/>
      </c>
      <c r="BI271" s="184" t="str">
        <f t="shared" si="729"/>
        <v/>
      </c>
      <c r="BJ271" s="184" t="str">
        <f t="shared" si="730"/>
        <v/>
      </c>
      <c r="BK271" s="184" t="str">
        <f t="shared" si="731"/>
        <v/>
      </c>
      <c r="BL271" s="184" t="str">
        <f t="shared" si="732"/>
        <v/>
      </c>
      <c r="BM271" s="184" t="str">
        <f t="shared" si="733"/>
        <v/>
      </c>
      <c r="BN271" s="184" t="str">
        <f t="shared" si="734"/>
        <v/>
      </c>
      <c r="BO271" s="184" t="str">
        <f t="shared" si="735"/>
        <v/>
      </c>
      <c r="BP271" s="184" t="str">
        <f t="shared" si="736"/>
        <v/>
      </c>
      <c r="BQ271" s="184" t="str">
        <f t="shared" si="737"/>
        <v/>
      </c>
      <c r="BR271" s="184" t="str">
        <f t="shared" si="789"/>
        <v/>
      </c>
      <c r="BS271" s="184" t="str">
        <f t="shared" si="789"/>
        <v/>
      </c>
      <c r="BT271" s="184" t="str">
        <f t="shared" si="789"/>
        <v/>
      </c>
      <c r="BU271" s="184" t="str">
        <f t="shared" si="739"/>
        <v/>
      </c>
      <c r="BV271" s="184" t="str">
        <f t="shared" si="740"/>
        <v/>
      </c>
      <c r="BW271" s="184" t="str">
        <f t="shared" si="741"/>
        <v/>
      </c>
      <c r="BX271" s="184" t="str">
        <f t="shared" si="742"/>
        <v/>
      </c>
      <c r="BY271" s="184" t="str">
        <f t="shared" si="743"/>
        <v/>
      </c>
      <c r="BZ271" s="184" t="str">
        <f t="shared" si="744"/>
        <v/>
      </c>
      <c r="CA271" s="184" t="str">
        <f t="shared" si="745"/>
        <v/>
      </c>
      <c r="CB271" s="184" t="str">
        <f t="shared" si="746"/>
        <v/>
      </c>
      <c r="CC271" s="184" t="str">
        <f t="shared" si="747"/>
        <v/>
      </c>
      <c r="CD271" s="184" t="str">
        <f t="shared" si="748"/>
        <v/>
      </c>
      <c r="CE271" s="184" t="str">
        <f t="shared" si="749"/>
        <v/>
      </c>
      <c r="CF271" s="184" t="str">
        <f t="shared" si="750"/>
        <v/>
      </c>
      <c r="CG271" s="184" t="str">
        <f t="shared" si="751"/>
        <v/>
      </c>
      <c r="CH271" s="184" t="str">
        <f t="shared" si="752"/>
        <v/>
      </c>
      <c r="CI271" s="184" t="str">
        <f t="shared" si="753"/>
        <v/>
      </c>
      <c r="CJ271" s="184" t="str">
        <f t="shared" si="754"/>
        <v/>
      </c>
      <c r="CK271" s="184"/>
      <c r="CM271" s="184"/>
      <c r="CN271"/>
      <c r="CP271"/>
      <c r="CR271"/>
      <c r="CT271"/>
      <c r="CV271"/>
      <c r="CX271"/>
      <c r="CZ271"/>
      <c r="DB271"/>
      <c r="DD271"/>
      <c r="DF271"/>
      <c r="ED271" s="184"/>
      <c r="EF271" s="184"/>
      <c r="EH271" s="184"/>
      <c r="EJ271" s="184"/>
      <c r="EL271" s="184"/>
      <c r="EN271" s="184"/>
      <c r="EP271" s="184"/>
      <c r="ER271" s="184"/>
      <c r="ET271" s="184"/>
      <c r="EV271" s="184"/>
      <c r="EX271" s="184"/>
      <c r="EZ271" s="184"/>
      <c r="FB271" s="184"/>
    </row>
    <row r="272" spans="1:158">
      <c r="A272" s="184">
        <f t="shared" si="784"/>
        <v>66</v>
      </c>
      <c r="B272" s="18">
        <f t="shared" si="678"/>
        <v>12230</v>
      </c>
      <c r="C272" s="18">
        <f t="shared" si="755"/>
        <v>15056.666666667312</v>
      </c>
      <c r="D272" s="18">
        <f t="shared" si="756"/>
        <v>19931.666666666759</v>
      </c>
      <c r="E272" s="18">
        <f t="shared" si="691"/>
        <v>24291.666666666206</v>
      </c>
      <c r="F272" s="18">
        <f t="shared" si="692"/>
        <v>12388.333333333103</v>
      </c>
      <c r="G272" s="18">
        <f t="shared" si="693"/>
        <v>15278.333333332688</v>
      </c>
      <c r="H272" s="18">
        <f t="shared" si="694"/>
        <v>19900</v>
      </c>
      <c r="I272" s="18">
        <f t="shared" si="695"/>
        <v>12261.666666666966</v>
      </c>
      <c r="J272" s="18">
        <f t="shared" si="696"/>
        <v>16173.333333332688</v>
      </c>
      <c r="K272" s="18">
        <f t="shared" si="697"/>
        <v>20121.666666666897</v>
      </c>
      <c r="L272" s="18">
        <f t="shared" si="698"/>
        <v>24196.666666666068</v>
      </c>
      <c r="M272" s="18">
        <f t="shared" si="699"/>
        <v>31273.333333334624</v>
      </c>
      <c r="N272" s="18">
        <f t="shared" si="700"/>
        <v>15145</v>
      </c>
      <c r="O272" s="18">
        <f t="shared" si="701"/>
        <v>20031.666666666759</v>
      </c>
      <c r="P272" s="18">
        <f t="shared" si="702"/>
        <v>22325</v>
      </c>
      <c r="Q272" s="18">
        <f t="shared" si="703"/>
        <v>27153.333333334624</v>
      </c>
      <c r="R272" s="18">
        <f t="shared" si="704"/>
        <v>40795</v>
      </c>
      <c r="S272" s="18">
        <f t="shared" si="705"/>
        <v>24058.333333334347</v>
      </c>
      <c r="T272" s="18">
        <f t="shared" si="706"/>
        <v>27169.166666665376</v>
      </c>
      <c r="U272" s="18">
        <f t="shared" si="707"/>
        <v>30900.393333332926</v>
      </c>
      <c r="V272" s="18">
        <f t="shared" si="708"/>
        <v>39351.59999999823</v>
      </c>
      <c r="W272" s="18">
        <f t="shared" si="709"/>
        <v>49408.119999996881</v>
      </c>
      <c r="X272" s="18">
        <f t="shared" si="710"/>
        <v>60822.90000000177</v>
      </c>
      <c r="Y272" s="18">
        <f t="shared" si="711"/>
        <v>57483.333333330753</v>
      </c>
      <c r="Z272" s="18">
        <f t="shared" si="710"/>
        <v>48357.333333331306</v>
      </c>
      <c r="AA272" s="18">
        <f t="shared" ref="AA272:AB272" si="799">AA271+(AA$234-AA$233)/2</f>
        <v>56154.666666669247</v>
      </c>
      <c r="AB272" s="18">
        <f t="shared" si="799"/>
        <v>71434</v>
      </c>
      <c r="AC272" s="18">
        <f t="shared" si="679"/>
        <v>40600</v>
      </c>
      <c r="AD272" s="18">
        <f t="shared" si="766"/>
        <v>52200</v>
      </c>
      <c r="AE272" s="18">
        <f t="shared" si="767"/>
        <v>60900</v>
      </c>
      <c r="AF272" s="18">
        <f t="shared" si="768"/>
        <v>69600</v>
      </c>
      <c r="AG272" s="18">
        <f t="shared" si="769"/>
        <v>87000</v>
      </c>
      <c r="AH272" s="18">
        <f t="shared" si="769"/>
        <v>55100</v>
      </c>
      <c r="AI272" s="18">
        <f t="shared" si="769"/>
        <v>66120</v>
      </c>
      <c r="AJ272" s="18">
        <f t="shared" si="769"/>
        <v>72500</v>
      </c>
      <c r="AK272" s="18">
        <f t="shared" si="769"/>
        <v>84100</v>
      </c>
      <c r="AL272" s="18">
        <f t="shared" si="770"/>
        <v>63800</v>
      </c>
      <c r="AM272" s="18">
        <f t="shared" si="771"/>
        <v>72500</v>
      </c>
      <c r="AN272" s="18">
        <f t="shared" si="772"/>
        <v>82940</v>
      </c>
      <c r="AO272" s="18">
        <f t="shared" si="773"/>
        <v>130500</v>
      </c>
      <c r="AP272" s="18">
        <f t="shared" si="774"/>
        <v>139200</v>
      </c>
      <c r="AQ272" s="18">
        <f t="shared" si="775"/>
        <v>156600</v>
      </c>
      <c r="AR272" s="18">
        <f t="shared" si="776"/>
        <v>426880</v>
      </c>
      <c r="AS272" s="18">
        <f t="shared" si="690"/>
        <v>0</v>
      </c>
      <c r="AT272" s="184" t="str">
        <f t="shared" si="714"/>
        <v/>
      </c>
      <c r="AU272" s="184" t="str">
        <f t="shared" si="715"/>
        <v/>
      </c>
      <c r="AV272" s="184" t="str">
        <f t="shared" si="716"/>
        <v/>
      </c>
      <c r="AW272" s="184" t="str">
        <f t="shared" si="717"/>
        <v/>
      </c>
      <c r="AX272" s="184" t="str">
        <f t="shared" si="718"/>
        <v/>
      </c>
      <c r="AY272" s="184" t="str">
        <f t="shared" si="719"/>
        <v/>
      </c>
      <c r="AZ272" s="184" t="str">
        <f t="shared" si="720"/>
        <v/>
      </c>
      <c r="BA272" s="184" t="str">
        <f t="shared" si="721"/>
        <v/>
      </c>
      <c r="BB272" s="184" t="str">
        <f t="shared" si="722"/>
        <v/>
      </c>
      <c r="BC272" s="184" t="str">
        <f t="shared" si="723"/>
        <v/>
      </c>
      <c r="BD272" s="184" t="str">
        <f t="shared" si="724"/>
        <v/>
      </c>
      <c r="BE272" s="184" t="str">
        <f t="shared" si="725"/>
        <v/>
      </c>
      <c r="BF272" s="184" t="str">
        <f t="shared" si="726"/>
        <v/>
      </c>
      <c r="BG272" s="184" t="str">
        <f t="shared" si="727"/>
        <v/>
      </c>
      <c r="BH272" s="184" t="str">
        <f t="shared" si="728"/>
        <v/>
      </c>
      <c r="BI272" s="184" t="str">
        <f t="shared" si="729"/>
        <v/>
      </c>
      <c r="BJ272" s="184" t="str">
        <f t="shared" si="730"/>
        <v/>
      </c>
      <c r="BK272" s="184" t="str">
        <f t="shared" si="731"/>
        <v/>
      </c>
      <c r="BL272" s="184" t="str">
        <f t="shared" si="732"/>
        <v/>
      </c>
      <c r="BM272" s="184" t="str">
        <f t="shared" si="733"/>
        <v/>
      </c>
      <c r="BN272" s="184" t="str">
        <f t="shared" si="734"/>
        <v/>
      </c>
      <c r="BO272" s="184" t="str">
        <f t="shared" si="735"/>
        <v/>
      </c>
      <c r="BP272" s="184" t="str">
        <f t="shared" si="736"/>
        <v/>
      </c>
      <c r="BQ272" s="184" t="str">
        <f t="shared" si="737"/>
        <v/>
      </c>
      <c r="BR272" s="184" t="str">
        <f t="shared" si="789"/>
        <v/>
      </c>
      <c r="BS272" s="184" t="str">
        <f t="shared" si="789"/>
        <v/>
      </c>
      <c r="BT272" s="184" t="str">
        <f t="shared" si="789"/>
        <v/>
      </c>
      <c r="BU272" s="184" t="str">
        <f t="shared" si="739"/>
        <v/>
      </c>
      <c r="BV272" s="184" t="str">
        <f t="shared" si="740"/>
        <v/>
      </c>
      <c r="BW272" s="184" t="str">
        <f t="shared" si="741"/>
        <v/>
      </c>
      <c r="BX272" s="184" t="str">
        <f t="shared" si="742"/>
        <v/>
      </c>
      <c r="BY272" s="184" t="str">
        <f t="shared" si="743"/>
        <v/>
      </c>
      <c r="BZ272" s="184" t="str">
        <f t="shared" si="744"/>
        <v/>
      </c>
      <c r="CA272" s="184" t="str">
        <f t="shared" si="745"/>
        <v/>
      </c>
      <c r="CB272" s="184" t="str">
        <f t="shared" si="746"/>
        <v/>
      </c>
      <c r="CC272" s="184" t="str">
        <f t="shared" si="747"/>
        <v/>
      </c>
      <c r="CD272" s="184" t="str">
        <f t="shared" si="748"/>
        <v/>
      </c>
      <c r="CE272" s="184" t="str">
        <f t="shared" si="749"/>
        <v/>
      </c>
      <c r="CF272" s="184" t="str">
        <f t="shared" si="750"/>
        <v/>
      </c>
      <c r="CG272" s="184" t="str">
        <f t="shared" si="751"/>
        <v/>
      </c>
      <c r="CH272" s="184" t="str">
        <f t="shared" si="752"/>
        <v/>
      </c>
      <c r="CI272" s="184" t="str">
        <f t="shared" si="753"/>
        <v/>
      </c>
      <c r="CJ272" s="184" t="str">
        <f t="shared" si="754"/>
        <v/>
      </c>
      <c r="CK272" s="184"/>
      <c r="CM272" s="184"/>
      <c r="CN272"/>
      <c r="CP272"/>
      <c r="CR272"/>
      <c r="CT272"/>
      <c r="CV272"/>
      <c r="CX272"/>
      <c r="CZ272"/>
      <c r="DB272"/>
      <c r="DD272"/>
      <c r="DF272"/>
      <c r="ED272" s="184"/>
      <c r="EF272" s="184"/>
      <c r="EH272" s="184"/>
      <c r="EJ272" s="184"/>
      <c r="EL272" s="184"/>
      <c r="EN272" s="184"/>
      <c r="EP272" s="184"/>
      <c r="ER272" s="184"/>
      <c r="ET272" s="184"/>
      <c r="EV272" s="184"/>
      <c r="EX272" s="184"/>
      <c r="EZ272" s="184"/>
      <c r="FB272" s="184"/>
    </row>
    <row r="273" spans="1:158">
      <c r="A273" s="184">
        <f t="shared" si="784"/>
        <v>66.5</v>
      </c>
      <c r="B273" s="18">
        <f t="shared" si="678"/>
        <v>12265</v>
      </c>
      <c r="C273" s="18">
        <f t="shared" si="755"/>
        <v>15095.000000000662</v>
      </c>
      <c r="D273" s="18">
        <f t="shared" si="756"/>
        <v>19982.500000000095</v>
      </c>
      <c r="E273" s="18">
        <f t="shared" si="691"/>
        <v>24362.499999999527</v>
      </c>
      <c r="F273" s="18">
        <f t="shared" si="692"/>
        <v>12427.499999999764</v>
      </c>
      <c r="G273" s="18">
        <f t="shared" si="693"/>
        <v>15322.499999999338</v>
      </c>
      <c r="H273" s="18">
        <f t="shared" si="694"/>
        <v>19950</v>
      </c>
      <c r="I273" s="18">
        <f t="shared" si="695"/>
        <v>12297.500000000307</v>
      </c>
      <c r="J273" s="18">
        <f t="shared" si="696"/>
        <v>16219.999999999338</v>
      </c>
      <c r="K273" s="18">
        <f t="shared" si="697"/>
        <v>20177.500000000236</v>
      </c>
      <c r="L273" s="18">
        <f t="shared" si="698"/>
        <v>24264.999999999385</v>
      </c>
      <c r="M273" s="18">
        <f t="shared" si="699"/>
        <v>31370.000000001324</v>
      </c>
      <c r="N273" s="18">
        <f t="shared" si="700"/>
        <v>15172.5</v>
      </c>
      <c r="O273" s="18">
        <f t="shared" si="701"/>
        <v>20082.500000000095</v>
      </c>
      <c r="P273" s="18">
        <f t="shared" si="702"/>
        <v>22362.5</v>
      </c>
      <c r="Q273" s="18">
        <f t="shared" si="703"/>
        <v>27210.000000001324</v>
      </c>
      <c r="R273" s="18">
        <f t="shared" si="704"/>
        <v>40897.5</v>
      </c>
      <c r="S273" s="18">
        <f t="shared" si="705"/>
        <v>24112.50000000104</v>
      </c>
      <c r="T273" s="18">
        <f t="shared" si="706"/>
        <v>27226.249999998676</v>
      </c>
      <c r="U273" s="18">
        <f t="shared" si="707"/>
        <v>30960.929999999582</v>
      </c>
      <c r="V273" s="18">
        <f t="shared" si="708"/>
        <v>39439.799999998184</v>
      </c>
      <c r="W273" s="18">
        <f t="shared" si="709"/>
        <v>49518.859999996799</v>
      </c>
      <c r="X273" s="18">
        <f t="shared" si="710"/>
        <v>61002.450000001816</v>
      </c>
      <c r="Y273" s="18">
        <f t="shared" si="711"/>
        <v>57574.999999997352</v>
      </c>
      <c r="Z273" s="18">
        <f t="shared" si="710"/>
        <v>48471.999999997919</v>
      </c>
      <c r="AA273" s="18">
        <f t="shared" ref="AA273:AB273" si="800">AA272+(AA$234-AA$233)/2</f>
        <v>56264.000000002648</v>
      </c>
      <c r="AB273" s="18">
        <f t="shared" si="800"/>
        <v>71577</v>
      </c>
      <c r="AC273" s="18">
        <f t="shared" si="679"/>
        <v>41300</v>
      </c>
      <c r="AD273" s="18">
        <f t="shared" si="766"/>
        <v>53100</v>
      </c>
      <c r="AE273" s="18">
        <f t="shared" si="767"/>
        <v>61950</v>
      </c>
      <c r="AF273" s="18">
        <f t="shared" si="768"/>
        <v>70800</v>
      </c>
      <c r="AG273" s="18">
        <f t="shared" si="769"/>
        <v>88500</v>
      </c>
      <c r="AH273" s="18">
        <f t="shared" si="769"/>
        <v>56050</v>
      </c>
      <c r="AI273" s="18">
        <f t="shared" si="769"/>
        <v>67260</v>
      </c>
      <c r="AJ273" s="18">
        <f t="shared" si="769"/>
        <v>73750</v>
      </c>
      <c r="AK273" s="18">
        <f t="shared" si="769"/>
        <v>85550</v>
      </c>
      <c r="AL273" s="18">
        <f t="shared" si="770"/>
        <v>64900</v>
      </c>
      <c r="AM273" s="18">
        <f t="shared" si="771"/>
        <v>73750</v>
      </c>
      <c r="AN273" s="18">
        <f t="shared" si="772"/>
        <v>84370</v>
      </c>
      <c r="AO273" s="18">
        <f t="shared" si="773"/>
        <v>132750</v>
      </c>
      <c r="AP273" s="18">
        <f t="shared" si="774"/>
        <v>141600</v>
      </c>
      <c r="AQ273" s="18">
        <f t="shared" si="775"/>
        <v>159300</v>
      </c>
      <c r="AR273" s="18">
        <f t="shared" si="776"/>
        <v>434240</v>
      </c>
      <c r="AS273" s="18">
        <f t="shared" si="690"/>
        <v>0</v>
      </c>
      <c r="AT273" s="184" t="str">
        <f t="shared" si="714"/>
        <v/>
      </c>
      <c r="AU273" s="184" t="str">
        <f t="shared" si="715"/>
        <v/>
      </c>
      <c r="AV273" s="184" t="str">
        <f t="shared" si="716"/>
        <v/>
      </c>
      <c r="AW273" s="184" t="str">
        <f t="shared" si="717"/>
        <v/>
      </c>
      <c r="AX273" s="184" t="str">
        <f t="shared" si="718"/>
        <v/>
      </c>
      <c r="AY273" s="184" t="str">
        <f t="shared" si="719"/>
        <v/>
      </c>
      <c r="AZ273" s="184" t="str">
        <f t="shared" si="720"/>
        <v/>
      </c>
      <c r="BA273" s="184" t="str">
        <f t="shared" si="721"/>
        <v/>
      </c>
      <c r="BB273" s="184" t="str">
        <f t="shared" si="722"/>
        <v/>
      </c>
      <c r="BC273" s="184" t="str">
        <f t="shared" si="723"/>
        <v/>
      </c>
      <c r="BD273" s="184" t="str">
        <f t="shared" si="724"/>
        <v/>
      </c>
      <c r="BE273" s="184" t="str">
        <f t="shared" si="725"/>
        <v/>
      </c>
      <c r="BF273" s="184" t="str">
        <f t="shared" si="726"/>
        <v/>
      </c>
      <c r="BG273" s="184" t="str">
        <f t="shared" si="727"/>
        <v/>
      </c>
      <c r="BH273" s="184" t="str">
        <f t="shared" si="728"/>
        <v/>
      </c>
      <c r="BI273" s="184" t="str">
        <f t="shared" si="729"/>
        <v/>
      </c>
      <c r="BJ273" s="184" t="str">
        <f t="shared" si="730"/>
        <v/>
      </c>
      <c r="BK273" s="184" t="str">
        <f t="shared" si="731"/>
        <v/>
      </c>
      <c r="BL273" s="184" t="str">
        <f t="shared" si="732"/>
        <v/>
      </c>
      <c r="BM273" s="184" t="str">
        <f t="shared" si="733"/>
        <v/>
      </c>
      <c r="BN273" s="184" t="str">
        <f t="shared" si="734"/>
        <v/>
      </c>
      <c r="BO273" s="184" t="str">
        <f t="shared" si="735"/>
        <v/>
      </c>
      <c r="BP273" s="184" t="str">
        <f t="shared" si="736"/>
        <v/>
      </c>
      <c r="BQ273" s="184" t="str">
        <f t="shared" si="737"/>
        <v/>
      </c>
      <c r="BR273" s="184" t="str">
        <f t="shared" si="789"/>
        <v/>
      </c>
      <c r="BS273" s="184" t="str">
        <f t="shared" si="789"/>
        <v/>
      </c>
      <c r="BT273" s="184" t="str">
        <f t="shared" si="789"/>
        <v/>
      </c>
      <c r="BU273" s="184" t="str">
        <f t="shared" si="739"/>
        <v/>
      </c>
      <c r="BV273" s="184" t="str">
        <f t="shared" si="740"/>
        <v/>
      </c>
      <c r="BW273" s="184" t="str">
        <f t="shared" si="741"/>
        <v/>
      </c>
      <c r="BX273" s="184" t="str">
        <f t="shared" si="742"/>
        <v/>
      </c>
      <c r="BY273" s="184" t="str">
        <f t="shared" si="743"/>
        <v/>
      </c>
      <c r="BZ273" s="184" t="str">
        <f t="shared" si="744"/>
        <v/>
      </c>
      <c r="CA273" s="184" t="str">
        <f t="shared" si="745"/>
        <v/>
      </c>
      <c r="CB273" s="184" t="str">
        <f t="shared" si="746"/>
        <v/>
      </c>
      <c r="CC273" s="184" t="str">
        <f t="shared" si="747"/>
        <v/>
      </c>
      <c r="CD273" s="184" t="str">
        <f t="shared" si="748"/>
        <v/>
      </c>
      <c r="CE273" s="184" t="str">
        <f t="shared" si="749"/>
        <v/>
      </c>
      <c r="CF273" s="184" t="str">
        <f t="shared" si="750"/>
        <v/>
      </c>
      <c r="CG273" s="184" t="str">
        <f t="shared" si="751"/>
        <v/>
      </c>
      <c r="CH273" s="184" t="str">
        <f t="shared" si="752"/>
        <v/>
      </c>
      <c r="CI273" s="184" t="str">
        <f t="shared" si="753"/>
        <v/>
      </c>
      <c r="CJ273" s="184" t="str">
        <f t="shared" si="754"/>
        <v/>
      </c>
      <c r="CK273" s="184"/>
      <c r="CM273" s="184"/>
      <c r="CN273"/>
      <c r="CP273"/>
      <c r="CR273"/>
      <c r="CT273"/>
      <c r="CV273"/>
      <c r="CX273"/>
      <c r="CZ273"/>
      <c r="DB273"/>
      <c r="DD273"/>
      <c r="DF273"/>
      <c r="ED273" s="184"/>
      <c r="EF273" s="184"/>
      <c r="EH273" s="184"/>
      <c r="EJ273" s="184"/>
      <c r="EL273" s="184"/>
      <c r="EN273" s="184"/>
      <c r="EP273" s="184"/>
      <c r="ER273" s="184"/>
      <c r="ET273" s="184"/>
      <c r="EV273" s="184"/>
      <c r="EX273" s="184"/>
      <c r="EZ273" s="184"/>
      <c r="FB273" s="184"/>
    </row>
    <row r="274" spans="1:158">
      <c r="A274" s="184">
        <f t="shared" si="784"/>
        <v>67</v>
      </c>
      <c r="B274" s="18">
        <f t="shared" si="678"/>
        <v>12300</v>
      </c>
      <c r="C274" s="18">
        <f t="shared" si="755"/>
        <v>15133.333333334012</v>
      </c>
      <c r="D274" s="18">
        <f t="shared" si="756"/>
        <v>20033.33333333343</v>
      </c>
      <c r="E274" s="18">
        <f t="shared" si="691"/>
        <v>24433.333333332848</v>
      </c>
      <c r="F274" s="18">
        <f t="shared" si="692"/>
        <v>12466.666666666424</v>
      </c>
      <c r="G274" s="18">
        <f t="shared" si="693"/>
        <v>15366.666666665988</v>
      </c>
      <c r="H274" s="18">
        <f t="shared" si="694"/>
        <v>20000</v>
      </c>
      <c r="I274" s="18">
        <f t="shared" si="695"/>
        <v>12333.333333333649</v>
      </c>
      <c r="J274" s="18">
        <f t="shared" si="696"/>
        <v>16266.666666665988</v>
      </c>
      <c r="K274" s="18">
        <f t="shared" si="697"/>
        <v>20233.333333333576</v>
      </c>
      <c r="L274" s="18">
        <f t="shared" si="698"/>
        <v>24333.333333332703</v>
      </c>
      <c r="M274" s="18">
        <f t="shared" si="699"/>
        <v>31466.666666668025</v>
      </c>
      <c r="N274" s="18">
        <f t="shared" si="700"/>
        <v>15200</v>
      </c>
      <c r="O274" s="18">
        <f t="shared" si="701"/>
        <v>20133.33333333343</v>
      </c>
      <c r="P274" s="18">
        <f t="shared" si="702"/>
        <v>22400</v>
      </c>
      <c r="Q274" s="18">
        <f t="shared" si="703"/>
        <v>27266.666666668025</v>
      </c>
      <c r="R274" s="18">
        <f t="shared" si="704"/>
        <v>41000</v>
      </c>
      <c r="S274" s="18">
        <f t="shared" si="705"/>
        <v>24166.666666667734</v>
      </c>
      <c r="T274" s="18">
        <f t="shared" si="706"/>
        <v>27283.333333331975</v>
      </c>
      <c r="U274" s="18">
        <f t="shared" si="707"/>
        <v>31021.466666666238</v>
      </c>
      <c r="V274" s="18">
        <f t="shared" si="708"/>
        <v>39527.999999998137</v>
      </c>
      <c r="W274" s="18">
        <f t="shared" si="709"/>
        <v>49629.599999996717</v>
      </c>
      <c r="X274" s="18">
        <f t="shared" si="710"/>
        <v>61182.000000001863</v>
      </c>
      <c r="Y274" s="18">
        <f t="shared" si="711"/>
        <v>57666.66666666395</v>
      </c>
      <c r="Z274" s="18">
        <f t="shared" si="710"/>
        <v>48586.666666664532</v>
      </c>
      <c r="AA274" s="18">
        <f t="shared" ref="AA274:AB274" si="801">AA273+(AA$234-AA$233)/2</f>
        <v>56373.33333333605</v>
      </c>
      <c r="AB274" s="18">
        <f t="shared" si="801"/>
        <v>71720</v>
      </c>
      <c r="AC274" s="18">
        <f t="shared" si="679"/>
        <v>42000</v>
      </c>
      <c r="AD274" s="18">
        <f t="shared" si="766"/>
        <v>54000</v>
      </c>
      <c r="AE274" s="18">
        <f t="shared" si="767"/>
        <v>63000</v>
      </c>
      <c r="AF274" s="18">
        <f t="shared" si="768"/>
        <v>72000</v>
      </c>
      <c r="AG274" s="18">
        <f t="shared" si="769"/>
        <v>90000</v>
      </c>
      <c r="AH274" s="18">
        <f t="shared" si="769"/>
        <v>57000</v>
      </c>
      <c r="AI274" s="18">
        <f t="shared" si="769"/>
        <v>68400</v>
      </c>
      <c r="AJ274" s="18">
        <f t="shared" si="769"/>
        <v>75000</v>
      </c>
      <c r="AK274" s="18">
        <f t="shared" si="769"/>
        <v>87000</v>
      </c>
      <c r="AL274" s="18">
        <f t="shared" si="770"/>
        <v>66000</v>
      </c>
      <c r="AM274" s="18">
        <f t="shared" si="771"/>
        <v>75000</v>
      </c>
      <c r="AN274" s="18">
        <f t="shared" si="772"/>
        <v>85800</v>
      </c>
      <c r="AO274" s="18">
        <f t="shared" si="773"/>
        <v>135000</v>
      </c>
      <c r="AP274" s="18">
        <f t="shared" si="774"/>
        <v>144000</v>
      </c>
      <c r="AQ274" s="18">
        <f t="shared" si="775"/>
        <v>162000</v>
      </c>
      <c r="AR274" s="18">
        <f t="shared" si="776"/>
        <v>441600</v>
      </c>
      <c r="AS274" s="18">
        <f t="shared" si="690"/>
        <v>0</v>
      </c>
      <c r="AT274" s="184" t="str">
        <f t="shared" si="714"/>
        <v/>
      </c>
      <c r="AU274" s="184" t="str">
        <f t="shared" si="715"/>
        <v/>
      </c>
      <c r="AV274" s="184" t="str">
        <f t="shared" si="716"/>
        <v/>
      </c>
      <c r="AW274" s="184" t="str">
        <f t="shared" si="717"/>
        <v/>
      </c>
      <c r="AX274" s="184" t="str">
        <f t="shared" si="718"/>
        <v/>
      </c>
      <c r="AY274" s="184" t="str">
        <f t="shared" si="719"/>
        <v/>
      </c>
      <c r="AZ274" s="184" t="str">
        <f t="shared" si="720"/>
        <v/>
      </c>
      <c r="BA274" s="184" t="str">
        <f t="shared" si="721"/>
        <v/>
      </c>
      <c r="BB274" s="184" t="str">
        <f t="shared" si="722"/>
        <v/>
      </c>
      <c r="BC274" s="184" t="str">
        <f t="shared" si="723"/>
        <v/>
      </c>
      <c r="BD274" s="184" t="str">
        <f t="shared" si="724"/>
        <v/>
      </c>
      <c r="BE274" s="184" t="str">
        <f t="shared" si="725"/>
        <v/>
      </c>
      <c r="BF274" s="184" t="str">
        <f t="shared" si="726"/>
        <v/>
      </c>
      <c r="BG274" s="184" t="str">
        <f t="shared" si="727"/>
        <v/>
      </c>
      <c r="BH274" s="184" t="str">
        <f t="shared" si="728"/>
        <v/>
      </c>
      <c r="BI274" s="184" t="str">
        <f t="shared" si="729"/>
        <v/>
      </c>
      <c r="BJ274" s="184" t="str">
        <f t="shared" si="730"/>
        <v/>
      </c>
      <c r="BK274" s="184" t="str">
        <f t="shared" si="731"/>
        <v/>
      </c>
      <c r="BL274" s="184" t="str">
        <f t="shared" si="732"/>
        <v/>
      </c>
      <c r="BM274" s="184" t="str">
        <f t="shared" si="733"/>
        <v/>
      </c>
      <c r="BN274" s="184" t="str">
        <f t="shared" si="734"/>
        <v/>
      </c>
      <c r="BO274" s="184" t="str">
        <f t="shared" si="735"/>
        <v/>
      </c>
      <c r="BP274" s="184" t="str">
        <f t="shared" si="736"/>
        <v/>
      </c>
      <c r="BQ274" s="184" t="str">
        <f t="shared" si="737"/>
        <v/>
      </c>
      <c r="BR274" s="184" t="str">
        <f t="shared" si="789"/>
        <v/>
      </c>
      <c r="BS274" s="184" t="str">
        <f t="shared" si="789"/>
        <v/>
      </c>
      <c r="BT274" s="184" t="str">
        <f t="shared" si="789"/>
        <v/>
      </c>
      <c r="BU274" s="184" t="str">
        <f t="shared" si="739"/>
        <v/>
      </c>
      <c r="BV274" s="184" t="str">
        <f t="shared" si="740"/>
        <v/>
      </c>
      <c r="BW274" s="184" t="str">
        <f t="shared" si="741"/>
        <v/>
      </c>
      <c r="BX274" s="184" t="str">
        <f t="shared" si="742"/>
        <v/>
      </c>
      <c r="BY274" s="184" t="str">
        <f t="shared" si="743"/>
        <v/>
      </c>
      <c r="BZ274" s="184" t="str">
        <f t="shared" si="744"/>
        <v/>
      </c>
      <c r="CA274" s="184" t="str">
        <f t="shared" si="745"/>
        <v/>
      </c>
      <c r="CB274" s="184" t="str">
        <f t="shared" si="746"/>
        <v/>
      </c>
      <c r="CC274" s="184" t="str">
        <f t="shared" si="747"/>
        <v/>
      </c>
      <c r="CD274" s="184" t="str">
        <f t="shared" si="748"/>
        <v/>
      </c>
      <c r="CE274" s="184" t="str">
        <f t="shared" si="749"/>
        <v/>
      </c>
      <c r="CF274" s="184" t="str">
        <f t="shared" si="750"/>
        <v/>
      </c>
      <c r="CG274" s="184" t="str">
        <f t="shared" si="751"/>
        <v/>
      </c>
      <c r="CH274" s="184" t="str">
        <f t="shared" si="752"/>
        <v/>
      </c>
      <c r="CI274" s="184" t="str">
        <f t="shared" si="753"/>
        <v/>
      </c>
      <c r="CJ274" s="184" t="str">
        <f t="shared" si="754"/>
        <v/>
      </c>
      <c r="CK274" s="184"/>
      <c r="CM274" s="184"/>
      <c r="CN274"/>
      <c r="CP274"/>
      <c r="CR274"/>
      <c r="CT274"/>
      <c r="CV274"/>
      <c r="CX274"/>
      <c r="CZ274"/>
      <c r="DB274"/>
      <c r="DD274"/>
      <c r="DF274"/>
      <c r="ED274" s="184"/>
      <c r="EF274" s="184"/>
      <c r="EH274" s="184"/>
      <c r="EJ274" s="184"/>
      <c r="EL274" s="184"/>
      <c r="EN274" s="184"/>
      <c r="EP274" s="184"/>
      <c r="ER274" s="184"/>
      <c r="ET274" s="184"/>
      <c r="EV274" s="184"/>
      <c r="EX274" s="184"/>
      <c r="EZ274" s="184"/>
      <c r="FB274" s="184"/>
    </row>
    <row r="275" spans="1:158">
      <c r="A275" s="184">
        <f t="shared" si="784"/>
        <v>67.5</v>
      </c>
      <c r="B275" s="18">
        <f t="shared" si="678"/>
        <v>12335</v>
      </c>
      <c r="C275" s="18">
        <f t="shared" si="755"/>
        <v>15171.666666667363</v>
      </c>
      <c r="D275" s="18">
        <f t="shared" si="756"/>
        <v>20084.166666666766</v>
      </c>
      <c r="E275" s="18">
        <f t="shared" si="691"/>
        <v>24504.166666666169</v>
      </c>
      <c r="F275" s="18">
        <f t="shared" si="692"/>
        <v>12505.833333333085</v>
      </c>
      <c r="G275" s="18">
        <f t="shared" si="693"/>
        <v>15410.833333332637</v>
      </c>
      <c r="H275" s="18">
        <f t="shared" si="694"/>
        <v>20050</v>
      </c>
      <c r="I275" s="18">
        <f t="shared" si="695"/>
        <v>12369.16666666699</v>
      </c>
      <c r="J275" s="18">
        <f t="shared" si="696"/>
        <v>16313.333333332637</v>
      </c>
      <c r="K275" s="18">
        <f t="shared" si="697"/>
        <v>20289.166666666915</v>
      </c>
      <c r="L275" s="18">
        <f t="shared" si="698"/>
        <v>24401.66666666602</v>
      </c>
      <c r="M275" s="18">
        <f t="shared" si="699"/>
        <v>31563.333333334725</v>
      </c>
      <c r="N275" s="18">
        <f t="shared" si="700"/>
        <v>15227.5</v>
      </c>
      <c r="O275" s="18">
        <f t="shared" si="701"/>
        <v>20184.166666666766</v>
      </c>
      <c r="P275" s="18">
        <f t="shared" si="702"/>
        <v>22437.5</v>
      </c>
      <c r="Q275" s="18">
        <f t="shared" si="703"/>
        <v>27323.333333334725</v>
      </c>
      <c r="R275" s="18">
        <f t="shared" si="704"/>
        <v>41102.5</v>
      </c>
      <c r="S275" s="18">
        <f t="shared" si="705"/>
        <v>24220.833333334427</v>
      </c>
      <c r="T275" s="18">
        <f t="shared" si="706"/>
        <v>27340.416666665275</v>
      </c>
      <c r="U275" s="18">
        <f t="shared" si="707"/>
        <v>31082.003333332894</v>
      </c>
      <c r="V275" s="18">
        <f t="shared" si="708"/>
        <v>39616.199999998091</v>
      </c>
      <c r="W275" s="18">
        <f t="shared" si="709"/>
        <v>49740.339999996635</v>
      </c>
      <c r="X275" s="18">
        <f t="shared" si="710"/>
        <v>61361.550000001909</v>
      </c>
      <c r="Y275" s="18">
        <f t="shared" si="711"/>
        <v>57758.333333330549</v>
      </c>
      <c r="Z275" s="18">
        <f t="shared" si="710"/>
        <v>48701.333333331146</v>
      </c>
      <c r="AA275" s="18">
        <f t="shared" ref="AA275:AB275" si="802">AA274+(AA$234-AA$233)/2</f>
        <v>56482.666666669451</v>
      </c>
      <c r="AB275" s="18">
        <f t="shared" si="802"/>
        <v>71863</v>
      </c>
      <c r="AC275" s="18">
        <f t="shared" si="679"/>
        <v>42700</v>
      </c>
      <c r="AD275" s="18">
        <f t="shared" si="766"/>
        <v>54900</v>
      </c>
      <c r="AE275" s="18">
        <f t="shared" si="767"/>
        <v>64050</v>
      </c>
      <c r="AF275" s="18">
        <f t="shared" si="768"/>
        <v>73200</v>
      </c>
      <c r="AG275" s="18">
        <f t="shared" si="769"/>
        <v>91500</v>
      </c>
      <c r="AH275" s="18">
        <f t="shared" si="769"/>
        <v>57950</v>
      </c>
      <c r="AI275" s="18">
        <f t="shared" si="769"/>
        <v>69540</v>
      </c>
      <c r="AJ275" s="18">
        <f t="shared" si="769"/>
        <v>76250</v>
      </c>
      <c r="AK275" s="18">
        <f t="shared" si="769"/>
        <v>88450</v>
      </c>
      <c r="AL275" s="18">
        <f t="shared" si="770"/>
        <v>67100</v>
      </c>
      <c r="AM275" s="18">
        <f t="shared" si="771"/>
        <v>76250</v>
      </c>
      <c r="AN275" s="18">
        <f t="shared" si="772"/>
        <v>87230</v>
      </c>
      <c r="AO275" s="18">
        <f t="shared" si="773"/>
        <v>137250</v>
      </c>
      <c r="AP275" s="18">
        <f t="shared" si="774"/>
        <v>146400</v>
      </c>
      <c r="AQ275" s="18">
        <f t="shared" si="775"/>
        <v>164700</v>
      </c>
      <c r="AR275" s="18">
        <f t="shared" si="776"/>
        <v>448960</v>
      </c>
      <c r="AS275" s="18">
        <f t="shared" si="690"/>
        <v>0</v>
      </c>
      <c r="AT275" s="184" t="str">
        <f t="shared" si="714"/>
        <v/>
      </c>
      <c r="AU275" s="184" t="str">
        <f t="shared" si="715"/>
        <v/>
      </c>
      <c r="AV275" s="184" t="str">
        <f t="shared" si="716"/>
        <v/>
      </c>
      <c r="AW275" s="184" t="str">
        <f t="shared" si="717"/>
        <v/>
      </c>
      <c r="AX275" s="184" t="str">
        <f t="shared" si="718"/>
        <v/>
      </c>
      <c r="AY275" s="184" t="str">
        <f t="shared" si="719"/>
        <v/>
      </c>
      <c r="AZ275" s="184" t="str">
        <f t="shared" si="720"/>
        <v/>
      </c>
      <c r="BA275" s="184" t="str">
        <f t="shared" si="721"/>
        <v/>
      </c>
      <c r="BB275" s="184" t="str">
        <f t="shared" si="722"/>
        <v/>
      </c>
      <c r="BC275" s="184" t="str">
        <f t="shared" si="723"/>
        <v/>
      </c>
      <c r="BD275" s="184" t="str">
        <f t="shared" si="724"/>
        <v/>
      </c>
      <c r="BE275" s="184" t="str">
        <f t="shared" si="725"/>
        <v/>
      </c>
      <c r="BF275" s="184" t="str">
        <f t="shared" si="726"/>
        <v/>
      </c>
      <c r="BG275" s="184" t="str">
        <f t="shared" si="727"/>
        <v/>
      </c>
      <c r="BH275" s="184" t="str">
        <f t="shared" si="728"/>
        <v/>
      </c>
      <c r="BI275" s="184" t="str">
        <f t="shared" si="729"/>
        <v/>
      </c>
      <c r="BJ275" s="184" t="str">
        <f t="shared" si="730"/>
        <v/>
      </c>
      <c r="BK275" s="184" t="str">
        <f t="shared" si="731"/>
        <v/>
      </c>
      <c r="BL275" s="184" t="str">
        <f t="shared" si="732"/>
        <v/>
      </c>
      <c r="BM275" s="184" t="str">
        <f t="shared" si="733"/>
        <v/>
      </c>
      <c r="BN275" s="184" t="str">
        <f t="shared" si="734"/>
        <v/>
      </c>
      <c r="BO275" s="184" t="str">
        <f t="shared" si="735"/>
        <v/>
      </c>
      <c r="BP275" s="184" t="str">
        <f t="shared" si="736"/>
        <v/>
      </c>
      <c r="BQ275" s="184" t="str">
        <f t="shared" si="737"/>
        <v/>
      </c>
      <c r="BR275" s="184" t="str">
        <f t="shared" si="789"/>
        <v/>
      </c>
      <c r="BS275" s="184" t="str">
        <f t="shared" si="789"/>
        <v/>
      </c>
      <c r="BT275" s="184" t="str">
        <f t="shared" si="789"/>
        <v/>
      </c>
      <c r="BU275" s="184" t="str">
        <f t="shared" si="739"/>
        <v/>
      </c>
      <c r="BV275" s="184" t="str">
        <f t="shared" si="740"/>
        <v/>
      </c>
      <c r="BW275" s="184" t="str">
        <f t="shared" si="741"/>
        <v/>
      </c>
      <c r="BX275" s="184" t="str">
        <f t="shared" si="742"/>
        <v/>
      </c>
      <c r="BY275" s="184" t="str">
        <f t="shared" si="743"/>
        <v/>
      </c>
      <c r="BZ275" s="184" t="str">
        <f t="shared" si="744"/>
        <v/>
      </c>
      <c r="CA275" s="184" t="str">
        <f t="shared" si="745"/>
        <v/>
      </c>
      <c r="CB275" s="184" t="str">
        <f t="shared" si="746"/>
        <v/>
      </c>
      <c r="CC275" s="184" t="str">
        <f t="shared" si="747"/>
        <v/>
      </c>
      <c r="CD275" s="184" t="str">
        <f t="shared" si="748"/>
        <v/>
      </c>
      <c r="CE275" s="184" t="str">
        <f t="shared" si="749"/>
        <v/>
      </c>
      <c r="CF275" s="184" t="str">
        <f t="shared" si="750"/>
        <v/>
      </c>
      <c r="CG275" s="184" t="str">
        <f t="shared" si="751"/>
        <v/>
      </c>
      <c r="CH275" s="184" t="str">
        <f t="shared" si="752"/>
        <v/>
      </c>
      <c r="CI275" s="184" t="str">
        <f t="shared" si="753"/>
        <v/>
      </c>
      <c r="CJ275" s="184" t="str">
        <f t="shared" si="754"/>
        <v/>
      </c>
      <c r="CK275" s="184"/>
      <c r="CM275" s="184"/>
      <c r="CN275"/>
      <c r="CP275"/>
      <c r="CR275"/>
      <c r="CT275"/>
      <c r="CV275"/>
      <c r="CX275"/>
      <c r="CZ275"/>
      <c r="DB275"/>
      <c r="DD275"/>
      <c r="DF275"/>
      <c r="ED275" s="184"/>
      <c r="EF275" s="184"/>
      <c r="EH275" s="184"/>
      <c r="EJ275" s="184"/>
      <c r="EL275" s="184"/>
      <c r="EN275" s="184"/>
      <c r="EP275" s="184"/>
      <c r="ER275" s="184"/>
      <c r="ET275" s="184"/>
      <c r="EV275" s="184"/>
      <c r="EX275" s="184"/>
      <c r="EZ275" s="184"/>
      <c r="FB275" s="184"/>
    </row>
    <row r="276" spans="1:158">
      <c r="A276" s="184">
        <f t="shared" si="784"/>
        <v>68</v>
      </c>
      <c r="B276" s="18">
        <f t="shared" si="678"/>
        <v>12370</v>
      </c>
      <c r="C276" s="18">
        <f t="shared" si="755"/>
        <v>15210.000000000713</v>
      </c>
      <c r="D276" s="18">
        <f t="shared" si="756"/>
        <v>20135.000000000102</v>
      </c>
      <c r="E276" s="18">
        <f t="shared" si="691"/>
        <v>24574.999999999491</v>
      </c>
      <c r="F276" s="18">
        <f t="shared" si="692"/>
        <v>12544.999999999745</v>
      </c>
      <c r="G276" s="18">
        <f t="shared" si="693"/>
        <v>15454.999999999287</v>
      </c>
      <c r="H276" s="18">
        <f t="shared" si="694"/>
        <v>20100</v>
      </c>
      <c r="I276" s="18">
        <f t="shared" si="695"/>
        <v>12405.000000000331</v>
      </c>
      <c r="J276" s="18">
        <f t="shared" si="696"/>
        <v>16359.999999999287</v>
      </c>
      <c r="K276" s="18">
        <f t="shared" si="697"/>
        <v>20345.000000000255</v>
      </c>
      <c r="L276" s="18">
        <f t="shared" si="698"/>
        <v>24469.999999999338</v>
      </c>
      <c r="M276" s="18">
        <f t="shared" si="699"/>
        <v>31660.000000001426</v>
      </c>
      <c r="N276" s="18">
        <f t="shared" si="700"/>
        <v>15255</v>
      </c>
      <c r="O276" s="18">
        <f t="shared" si="701"/>
        <v>20235.000000000102</v>
      </c>
      <c r="P276" s="18">
        <f t="shared" si="702"/>
        <v>22475</v>
      </c>
      <c r="Q276" s="18">
        <f t="shared" si="703"/>
        <v>27380.000000001426</v>
      </c>
      <c r="R276" s="18">
        <f t="shared" si="704"/>
        <v>41205</v>
      </c>
      <c r="S276" s="18">
        <f t="shared" si="705"/>
        <v>24275.00000000112</v>
      </c>
      <c r="T276" s="18">
        <f t="shared" si="706"/>
        <v>27397.499999998574</v>
      </c>
      <c r="U276" s="18">
        <f t="shared" si="707"/>
        <v>31142.53999999955</v>
      </c>
      <c r="V276" s="18">
        <f t="shared" si="708"/>
        <v>39704.399999998044</v>
      </c>
      <c r="W276" s="18">
        <f t="shared" si="709"/>
        <v>49851.079999996553</v>
      </c>
      <c r="X276" s="18">
        <f t="shared" si="710"/>
        <v>61541.100000001956</v>
      </c>
      <c r="Y276" s="18">
        <f t="shared" si="711"/>
        <v>57849.999999997148</v>
      </c>
      <c r="Z276" s="18">
        <f t="shared" si="710"/>
        <v>48815.999999997759</v>
      </c>
      <c r="AA276" s="18">
        <f t="shared" ref="AA276:AB276" si="803">AA275+(AA$234-AA$233)/2</f>
        <v>56592.000000002852</v>
      </c>
      <c r="AB276" s="18">
        <f t="shared" si="803"/>
        <v>72006</v>
      </c>
      <c r="AC276" s="18">
        <f t="shared" si="679"/>
        <v>43400</v>
      </c>
      <c r="AD276" s="18">
        <f t="shared" si="766"/>
        <v>55800</v>
      </c>
      <c r="AE276" s="18">
        <f t="shared" si="767"/>
        <v>65100</v>
      </c>
      <c r="AF276" s="18">
        <f t="shared" si="768"/>
        <v>74400</v>
      </c>
      <c r="AG276" s="18">
        <f t="shared" si="769"/>
        <v>93000</v>
      </c>
      <c r="AH276" s="18">
        <f t="shared" si="769"/>
        <v>58900</v>
      </c>
      <c r="AI276" s="18">
        <f t="shared" si="769"/>
        <v>70680</v>
      </c>
      <c r="AJ276" s="18">
        <f t="shared" si="769"/>
        <v>77500</v>
      </c>
      <c r="AK276" s="18">
        <f t="shared" si="769"/>
        <v>89900</v>
      </c>
      <c r="AL276" s="18">
        <f t="shared" si="770"/>
        <v>68200</v>
      </c>
      <c r="AM276" s="18">
        <f t="shared" si="771"/>
        <v>77500</v>
      </c>
      <c r="AN276" s="18">
        <f t="shared" si="772"/>
        <v>88660</v>
      </c>
      <c r="AO276" s="18">
        <f t="shared" si="773"/>
        <v>139500</v>
      </c>
      <c r="AP276" s="18">
        <f t="shared" si="774"/>
        <v>148800</v>
      </c>
      <c r="AQ276" s="18">
        <f t="shared" si="775"/>
        <v>167400</v>
      </c>
      <c r="AR276" s="18">
        <f t="shared" si="776"/>
        <v>456320</v>
      </c>
      <c r="AS276" s="18">
        <f t="shared" si="690"/>
        <v>0</v>
      </c>
      <c r="AT276" s="184" t="str">
        <f t="shared" si="714"/>
        <v/>
      </c>
      <c r="AU276" s="184" t="str">
        <f t="shared" si="715"/>
        <v/>
      </c>
      <c r="AV276" s="184" t="str">
        <f t="shared" si="716"/>
        <v/>
      </c>
      <c r="AW276" s="184" t="str">
        <f t="shared" si="717"/>
        <v/>
      </c>
      <c r="AX276" s="184" t="str">
        <f t="shared" si="718"/>
        <v/>
      </c>
      <c r="AY276" s="184" t="str">
        <f t="shared" si="719"/>
        <v/>
      </c>
      <c r="AZ276" s="184" t="str">
        <f t="shared" si="720"/>
        <v/>
      </c>
      <c r="BA276" s="184" t="str">
        <f t="shared" si="721"/>
        <v/>
      </c>
      <c r="BB276" s="184" t="str">
        <f t="shared" si="722"/>
        <v/>
      </c>
      <c r="BC276" s="184" t="str">
        <f t="shared" si="723"/>
        <v/>
      </c>
      <c r="BD276" s="184" t="str">
        <f t="shared" si="724"/>
        <v/>
      </c>
      <c r="BE276" s="184" t="str">
        <f t="shared" si="725"/>
        <v/>
      </c>
      <c r="BF276" s="184" t="str">
        <f t="shared" si="726"/>
        <v/>
      </c>
      <c r="BG276" s="184" t="str">
        <f t="shared" si="727"/>
        <v/>
      </c>
      <c r="BH276" s="184" t="str">
        <f t="shared" si="728"/>
        <v/>
      </c>
      <c r="BI276" s="184" t="str">
        <f t="shared" si="729"/>
        <v/>
      </c>
      <c r="BJ276" s="184" t="str">
        <f t="shared" si="730"/>
        <v/>
      </c>
      <c r="BK276" s="184" t="str">
        <f t="shared" si="731"/>
        <v/>
      </c>
      <c r="BL276" s="184" t="str">
        <f t="shared" si="732"/>
        <v/>
      </c>
      <c r="BM276" s="184" t="str">
        <f t="shared" si="733"/>
        <v/>
      </c>
      <c r="BN276" s="184" t="str">
        <f t="shared" si="734"/>
        <v/>
      </c>
      <c r="BO276" s="184" t="str">
        <f t="shared" si="735"/>
        <v/>
      </c>
      <c r="BP276" s="184" t="str">
        <f t="shared" si="736"/>
        <v/>
      </c>
      <c r="BQ276" s="184" t="str">
        <f t="shared" si="737"/>
        <v/>
      </c>
      <c r="BR276" s="184" t="str">
        <f t="shared" si="789"/>
        <v/>
      </c>
      <c r="BS276" s="184" t="str">
        <f t="shared" si="789"/>
        <v/>
      </c>
      <c r="BT276" s="184" t="str">
        <f t="shared" si="789"/>
        <v/>
      </c>
      <c r="BU276" s="184" t="str">
        <f t="shared" si="739"/>
        <v/>
      </c>
      <c r="BV276" s="184" t="str">
        <f t="shared" si="740"/>
        <v/>
      </c>
      <c r="BW276" s="184" t="str">
        <f t="shared" si="741"/>
        <v/>
      </c>
      <c r="BX276" s="184" t="str">
        <f t="shared" si="742"/>
        <v/>
      </c>
      <c r="BY276" s="184" t="str">
        <f t="shared" si="743"/>
        <v/>
      </c>
      <c r="BZ276" s="184" t="str">
        <f t="shared" si="744"/>
        <v/>
      </c>
      <c r="CA276" s="184" t="str">
        <f t="shared" si="745"/>
        <v/>
      </c>
      <c r="CB276" s="184" t="str">
        <f t="shared" si="746"/>
        <v/>
      </c>
      <c r="CC276" s="184" t="str">
        <f t="shared" si="747"/>
        <v/>
      </c>
      <c r="CD276" s="184" t="str">
        <f t="shared" si="748"/>
        <v/>
      </c>
      <c r="CE276" s="184" t="str">
        <f t="shared" si="749"/>
        <v/>
      </c>
      <c r="CF276" s="184" t="str">
        <f t="shared" si="750"/>
        <v/>
      </c>
      <c r="CG276" s="184" t="str">
        <f t="shared" si="751"/>
        <v/>
      </c>
      <c r="CH276" s="184" t="str">
        <f t="shared" si="752"/>
        <v/>
      </c>
      <c r="CI276" s="184" t="str">
        <f t="shared" si="753"/>
        <v/>
      </c>
      <c r="CJ276" s="184" t="str">
        <f t="shared" si="754"/>
        <v/>
      </c>
      <c r="CK276" s="184"/>
      <c r="CM276" s="184"/>
      <c r="CN276"/>
      <c r="CP276"/>
      <c r="CR276"/>
      <c r="CT276"/>
      <c r="CV276"/>
      <c r="CX276"/>
      <c r="CZ276"/>
      <c r="DB276"/>
      <c r="DD276"/>
      <c r="DF276"/>
      <c r="ED276" s="184"/>
      <c r="EF276" s="184"/>
      <c r="EH276" s="184"/>
      <c r="EJ276" s="184"/>
      <c r="EL276" s="184"/>
      <c r="EN276" s="184"/>
      <c r="EP276" s="184"/>
      <c r="ER276" s="184"/>
      <c r="ET276" s="184"/>
      <c r="EV276" s="184"/>
      <c r="EX276" s="184"/>
      <c r="EZ276" s="184"/>
      <c r="FB276" s="184"/>
    </row>
    <row r="277" spans="1:158">
      <c r="A277" s="184">
        <f t="shared" si="784"/>
        <v>68.5</v>
      </c>
      <c r="B277" s="18">
        <f t="shared" si="678"/>
        <v>12405</v>
      </c>
      <c r="C277" s="18">
        <f t="shared" si="755"/>
        <v>15248.333333334063</v>
      </c>
      <c r="D277" s="18">
        <f t="shared" si="756"/>
        <v>20185.833333333438</v>
      </c>
      <c r="E277" s="18">
        <f t="shared" si="691"/>
        <v>24645.833333332812</v>
      </c>
      <c r="F277" s="18">
        <f t="shared" si="692"/>
        <v>12584.166666666406</v>
      </c>
      <c r="G277" s="18">
        <f t="shared" si="693"/>
        <v>15499.166666665937</v>
      </c>
      <c r="H277" s="18">
        <f t="shared" si="694"/>
        <v>20150</v>
      </c>
      <c r="I277" s="18">
        <f t="shared" si="695"/>
        <v>12440.833333333672</v>
      </c>
      <c r="J277" s="18">
        <f t="shared" si="696"/>
        <v>16406.666666665937</v>
      </c>
      <c r="K277" s="18">
        <f t="shared" si="697"/>
        <v>20400.833333333594</v>
      </c>
      <c r="L277" s="18">
        <f t="shared" si="698"/>
        <v>24538.333333332655</v>
      </c>
      <c r="M277" s="18">
        <f t="shared" si="699"/>
        <v>31756.666666668127</v>
      </c>
      <c r="N277" s="18">
        <f t="shared" si="700"/>
        <v>15282.5</v>
      </c>
      <c r="O277" s="18">
        <f t="shared" si="701"/>
        <v>20285.833333333438</v>
      </c>
      <c r="P277" s="18">
        <f t="shared" si="702"/>
        <v>22512.5</v>
      </c>
      <c r="Q277" s="18">
        <f t="shared" si="703"/>
        <v>27436.666666668127</v>
      </c>
      <c r="R277" s="18">
        <f t="shared" si="704"/>
        <v>41307.5</v>
      </c>
      <c r="S277" s="18">
        <f t="shared" si="705"/>
        <v>24329.166666667814</v>
      </c>
      <c r="T277" s="18">
        <f t="shared" si="706"/>
        <v>27454.583333331873</v>
      </c>
      <c r="U277" s="18">
        <f t="shared" si="707"/>
        <v>31203.076666666206</v>
      </c>
      <c r="V277" s="18">
        <f t="shared" si="708"/>
        <v>39792.599999997998</v>
      </c>
      <c r="W277" s="18">
        <f t="shared" si="709"/>
        <v>49961.819999996471</v>
      </c>
      <c r="X277" s="18">
        <f t="shared" si="710"/>
        <v>61720.650000002002</v>
      </c>
      <c r="Y277" s="18">
        <f t="shared" si="711"/>
        <v>57941.666666663747</v>
      </c>
      <c r="Z277" s="18">
        <f t="shared" si="710"/>
        <v>48930.666666664372</v>
      </c>
      <c r="AA277" s="18">
        <f t="shared" ref="AA277:AB277" si="804">AA276+(AA$234-AA$233)/2</f>
        <v>56701.333333336253</v>
      </c>
      <c r="AB277" s="18">
        <f t="shared" si="804"/>
        <v>72149</v>
      </c>
      <c r="AC277" s="18">
        <f t="shared" si="679"/>
        <v>44100</v>
      </c>
      <c r="AD277" s="18">
        <f t="shared" si="766"/>
        <v>56700</v>
      </c>
      <c r="AE277" s="18">
        <f t="shared" si="767"/>
        <v>66150</v>
      </c>
      <c r="AF277" s="18">
        <f t="shared" si="768"/>
        <v>75600</v>
      </c>
      <c r="AG277" s="18">
        <f t="shared" si="769"/>
        <v>94500</v>
      </c>
      <c r="AH277" s="18">
        <f t="shared" si="769"/>
        <v>59850</v>
      </c>
      <c r="AI277" s="18">
        <f t="shared" si="769"/>
        <v>71820</v>
      </c>
      <c r="AJ277" s="18">
        <f t="shared" si="769"/>
        <v>78750</v>
      </c>
      <c r="AK277" s="18">
        <f t="shared" si="769"/>
        <v>91350</v>
      </c>
      <c r="AL277" s="18">
        <f t="shared" si="770"/>
        <v>69300</v>
      </c>
      <c r="AM277" s="18">
        <f t="shared" si="771"/>
        <v>78750</v>
      </c>
      <c r="AN277" s="18">
        <f t="shared" si="772"/>
        <v>90090</v>
      </c>
      <c r="AO277" s="18">
        <f t="shared" si="773"/>
        <v>141750</v>
      </c>
      <c r="AP277" s="18">
        <f t="shared" si="774"/>
        <v>151200</v>
      </c>
      <c r="AQ277" s="18">
        <f t="shared" si="775"/>
        <v>170100</v>
      </c>
      <c r="AR277" s="18">
        <f t="shared" si="776"/>
        <v>463680</v>
      </c>
      <c r="AS277" s="18">
        <f t="shared" ref="AS277:AS282" si="805">IF(($D$49-A277)&lt;5,0,IF(($D$49-A277)&gt;=($D$49-$C$49),1,MAX(0,MIN(1,(($D$49-8)-A277)/($D$49-($C$49-5))))))*heat_load</f>
        <v>0</v>
      </c>
      <c r="AT277" s="184" t="str">
        <f t="shared" si="714"/>
        <v/>
      </c>
      <c r="AU277" s="184" t="str">
        <f t="shared" si="715"/>
        <v/>
      </c>
      <c r="AV277" s="184" t="str">
        <f t="shared" si="716"/>
        <v/>
      </c>
      <c r="AW277" s="184" t="str">
        <f t="shared" si="717"/>
        <v/>
      </c>
      <c r="AX277" s="184" t="str">
        <f t="shared" si="718"/>
        <v/>
      </c>
      <c r="AY277" s="184" t="str">
        <f t="shared" si="719"/>
        <v/>
      </c>
      <c r="AZ277" s="184" t="str">
        <f t="shared" si="720"/>
        <v/>
      </c>
      <c r="BA277" s="184" t="str">
        <f t="shared" si="721"/>
        <v/>
      </c>
      <c r="BB277" s="184" t="str">
        <f t="shared" si="722"/>
        <v/>
      </c>
      <c r="BC277" s="184" t="str">
        <f t="shared" si="723"/>
        <v/>
      </c>
      <c r="BD277" s="184" t="str">
        <f t="shared" si="724"/>
        <v/>
      </c>
      <c r="BE277" s="184" t="str">
        <f t="shared" si="725"/>
        <v/>
      </c>
      <c r="BF277" s="184" t="str">
        <f t="shared" si="726"/>
        <v/>
      </c>
      <c r="BG277" s="184" t="str">
        <f t="shared" si="727"/>
        <v/>
      </c>
      <c r="BH277" s="184" t="str">
        <f t="shared" si="728"/>
        <v/>
      </c>
      <c r="BI277" s="184" t="str">
        <f t="shared" si="729"/>
        <v/>
      </c>
      <c r="BJ277" s="184" t="str">
        <f t="shared" si="730"/>
        <v/>
      </c>
      <c r="BK277" s="184" t="str">
        <f t="shared" si="731"/>
        <v/>
      </c>
      <c r="BL277" s="184" t="str">
        <f t="shared" si="732"/>
        <v/>
      </c>
      <c r="BM277" s="184" t="str">
        <f t="shared" si="733"/>
        <v/>
      </c>
      <c r="BN277" s="184" t="str">
        <f t="shared" si="734"/>
        <v/>
      </c>
      <c r="BO277" s="184" t="str">
        <f t="shared" si="735"/>
        <v/>
      </c>
      <c r="BP277" s="184" t="str">
        <f t="shared" si="736"/>
        <v/>
      </c>
      <c r="BQ277" s="184" t="str">
        <f t="shared" si="737"/>
        <v/>
      </c>
      <c r="BR277" s="184" t="str">
        <f t="shared" si="789"/>
        <v/>
      </c>
      <c r="BS277" s="184" t="str">
        <f t="shared" si="789"/>
        <v/>
      </c>
      <c r="BT277" s="184" t="str">
        <f t="shared" si="789"/>
        <v/>
      </c>
      <c r="BU277" s="184" t="str">
        <f t="shared" si="739"/>
        <v/>
      </c>
      <c r="BV277" s="184" t="str">
        <f t="shared" si="740"/>
        <v/>
      </c>
      <c r="BW277" s="184" t="str">
        <f t="shared" si="741"/>
        <v/>
      </c>
      <c r="BX277" s="184" t="str">
        <f t="shared" si="742"/>
        <v/>
      </c>
      <c r="BY277" s="184" t="str">
        <f t="shared" si="743"/>
        <v/>
      </c>
      <c r="BZ277" s="184" t="str">
        <f t="shared" si="744"/>
        <v/>
      </c>
      <c r="CA277" s="184" t="str">
        <f t="shared" si="745"/>
        <v/>
      </c>
      <c r="CB277" s="184" t="str">
        <f t="shared" si="746"/>
        <v/>
      </c>
      <c r="CC277" s="184" t="str">
        <f t="shared" si="747"/>
        <v/>
      </c>
      <c r="CD277" s="184" t="str">
        <f t="shared" si="748"/>
        <v/>
      </c>
      <c r="CE277" s="184" t="str">
        <f t="shared" si="749"/>
        <v/>
      </c>
      <c r="CF277" s="184" t="str">
        <f t="shared" si="750"/>
        <v/>
      </c>
      <c r="CG277" s="184" t="str">
        <f t="shared" si="751"/>
        <v/>
      </c>
      <c r="CH277" s="184" t="str">
        <f t="shared" si="752"/>
        <v/>
      </c>
      <c r="CI277" s="184" t="str">
        <f t="shared" si="753"/>
        <v/>
      </c>
      <c r="CJ277" s="184" t="str">
        <f t="shared" si="754"/>
        <v/>
      </c>
      <c r="CK277" s="184"/>
      <c r="CM277" s="184"/>
      <c r="CN277"/>
      <c r="CP277"/>
      <c r="CR277"/>
      <c r="CT277"/>
      <c r="CV277"/>
      <c r="CX277"/>
      <c r="CZ277"/>
      <c r="DB277"/>
      <c r="DD277"/>
      <c r="DF277"/>
      <c r="ED277" s="184"/>
      <c r="EF277" s="184"/>
      <c r="EH277" s="184"/>
      <c r="EJ277" s="184"/>
      <c r="EL277" s="184"/>
      <c r="EN277" s="184"/>
      <c r="EP277" s="184"/>
      <c r="ER277" s="184"/>
      <c r="ET277" s="184"/>
      <c r="EV277" s="184"/>
      <c r="EX277" s="184"/>
      <c r="EZ277" s="184"/>
      <c r="FB277" s="184"/>
    </row>
    <row r="278" spans="1:158">
      <c r="A278" s="184">
        <f t="shared" si="784"/>
        <v>69</v>
      </c>
      <c r="B278" s="18">
        <f t="shared" si="678"/>
        <v>12440</v>
      </c>
      <c r="C278" s="18">
        <f t="shared" si="755"/>
        <v>15286.666666667414</v>
      </c>
      <c r="D278" s="18">
        <f t="shared" si="756"/>
        <v>20236.666666666773</v>
      </c>
      <c r="E278" s="18">
        <f t="shared" si="691"/>
        <v>24716.666666666133</v>
      </c>
      <c r="F278" s="18">
        <f t="shared" si="692"/>
        <v>12623.333333333067</v>
      </c>
      <c r="G278" s="18">
        <f t="shared" si="693"/>
        <v>15543.333333332586</v>
      </c>
      <c r="H278" s="18">
        <f t="shared" si="694"/>
        <v>20200</v>
      </c>
      <c r="I278" s="18">
        <f t="shared" si="695"/>
        <v>12476.666666667013</v>
      </c>
      <c r="J278" s="18">
        <f t="shared" si="696"/>
        <v>16453.333333332586</v>
      </c>
      <c r="K278" s="18">
        <f t="shared" si="697"/>
        <v>20456.666666666933</v>
      </c>
      <c r="L278" s="18">
        <f t="shared" si="698"/>
        <v>24606.666666665973</v>
      </c>
      <c r="M278" s="18">
        <f t="shared" si="699"/>
        <v>31853.333333334827</v>
      </c>
      <c r="N278" s="18">
        <f t="shared" si="700"/>
        <v>15310</v>
      </c>
      <c r="O278" s="18">
        <f t="shared" si="701"/>
        <v>20336.666666666773</v>
      </c>
      <c r="P278" s="18">
        <f t="shared" si="702"/>
        <v>22550</v>
      </c>
      <c r="Q278" s="18">
        <f t="shared" si="703"/>
        <v>27493.333333334827</v>
      </c>
      <c r="R278" s="18">
        <f t="shared" si="704"/>
        <v>41410</v>
      </c>
      <c r="S278" s="18">
        <f t="shared" si="705"/>
        <v>24383.333333334507</v>
      </c>
      <c r="T278" s="18">
        <f t="shared" si="706"/>
        <v>27511.666666665173</v>
      </c>
      <c r="U278" s="18">
        <f t="shared" si="707"/>
        <v>31263.613333332862</v>
      </c>
      <c r="V278" s="18">
        <f t="shared" si="708"/>
        <v>39880.799999997951</v>
      </c>
      <c r="W278" s="18">
        <f t="shared" si="709"/>
        <v>50072.559999996389</v>
      </c>
      <c r="X278" s="18">
        <f t="shared" si="710"/>
        <v>61900.200000002049</v>
      </c>
      <c r="Y278" s="18">
        <f t="shared" si="711"/>
        <v>58033.333333330345</v>
      </c>
      <c r="Z278" s="18">
        <f t="shared" si="710"/>
        <v>49045.333333330986</v>
      </c>
      <c r="AA278" s="18">
        <f t="shared" ref="AA278:AB278" si="806">AA277+(AA$234-AA$233)/2</f>
        <v>56810.666666669655</v>
      </c>
      <c r="AB278" s="18">
        <f t="shared" si="806"/>
        <v>72292</v>
      </c>
      <c r="AC278" s="18">
        <f t="shared" si="679"/>
        <v>44800</v>
      </c>
      <c r="AD278" s="18">
        <f t="shared" si="766"/>
        <v>57600</v>
      </c>
      <c r="AE278" s="18">
        <f t="shared" si="767"/>
        <v>67200</v>
      </c>
      <c r="AF278" s="18">
        <f t="shared" si="768"/>
        <v>76800</v>
      </c>
      <c r="AG278" s="18">
        <f t="shared" si="769"/>
        <v>96000</v>
      </c>
      <c r="AH278" s="18">
        <f t="shared" si="769"/>
        <v>60800</v>
      </c>
      <c r="AI278" s="18">
        <f t="shared" si="769"/>
        <v>72960</v>
      </c>
      <c r="AJ278" s="18">
        <f t="shared" si="769"/>
        <v>80000</v>
      </c>
      <c r="AK278" s="18">
        <f t="shared" si="769"/>
        <v>92800</v>
      </c>
      <c r="AL278" s="18">
        <f t="shared" si="770"/>
        <v>70400</v>
      </c>
      <c r="AM278" s="18">
        <f t="shared" si="771"/>
        <v>80000</v>
      </c>
      <c r="AN278" s="18">
        <f t="shared" si="772"/>
        <v>91520</v>
      </c>
      <c r="AO278" s="18">
        <f t="shared" si="773"/>
        <v>144000</v>
      </c>
      <c r="AP278" s="18">
        <f t="shared" si="774"/>
        <v>153600</v>
      </c>
      <c r="AQ278" s="18">
        <f t="shared" si="775"/>
        <v>172800</v>
      </c>
      <c r="AR278" s="18">
        <f t="shared" si="776"/>
        <v>471040</v>
      </c>
      <c r="AS278" s="18">
        <f t="shared" si="805"/>
        <v>0</v>
      </c>
      <c r="AT278" s="184" t="str">
        <f t="shared" si="714"/>
        <v/>
      </c>
      <c r="AU278" s="184" t="str">
        <f t="shared" si="715"/>
        <v/>
      </c>
      <c r="AV278" s="184" t="str">
        <f t="shared" si="716"/>
        <v/>
      </c>
      <c r="AW278" s="184" t="str">
        <f t="shared" si="717"/>
        <v/>
      </c>
      <c r="AX278" s="184" t="str">
        <f t="shared" si="718"/>
        <v/>
      </c>
      <c r="AY278" s="184" t="str">
        <f t="shared" si="719"/>
        <v/>
      </c>
      <c r="AZ278" s="184" t="str">
        <f t="shared" si="720"/>
        <v/>
      </c>
      <c r="BA278" s="184" t="str">
        <f t="shared" si="721"/>
        <v/>
      </c>
      <c r="BB278" s="184" t="str">
        <f t="shared" si="722"/>
        <v/>
      </c>
      <c r="BC278" s="184" t="str">
        <f t="shared" si="723"/>
        <v/>
      </c>
      <c r="BD278" s="184" t="str">
        <f t="shared" si="724"/>
        <v/>
      </c>
      <c r="BE278" s="184" t="str">
        <f t="shared" si="725"/>
        <v/>
      </c>
      <c r="BF278" s="184" t="str">
        <f t="shared" si="726"/>
        <v/>
      </c>
      <c r="BG278" s="184" t="str">
        <f t="shared" si="727"/>
        <v/>
      </c>
      <c r="BH278" s="184" t="str">
        <f t="shared" si="728"/>
        <v/>
      </c>
      <c r="BI278" s="184" t="str">
        <f t="shared" si="729"/>
        <v/>
      </c>
      <c r="BJ278" s="184" t="str">
        <f t="shared" si="730"/>
        <v/>
      </c>
      <c r="BK278" s="184" t="str">
        <f t="shared" si="731"/>
        <v/>
      </c>
      <c r="BL278" s="184" t="str">
        <f t="shared" si="732"/>
        <v/>
      </c>
      <c r="BM278" s="184" t="str">
        <f t="shared" si="733"/>
        <v/>
      </c>
      <c r="BN278" s="184" t="str">
        <f t="shared" si="734"/>
        <v/>
      </c>
      <c r="BO278" s="184" t="str">
        <f t="shared" si="735"/>
        <v/>
      </c>
      <c r="BP278" s="184" t="str">
        <f t="shared" si="736"/>
        <v/>
      </c>
      <c r="BQ278" s="184" t="str">
        <f t="shared" si="737"/>
        <v/>
      </c>
      <c r="BR278" s="184" t="str">
        <f t="shared" ref="BR278:BT282" si="807">IF(AND(Z278&gt;=$AS278,Z277&lt;$AS277),1,"")</f>
        <v/>
      </c>
      <c r="BS278" s="184" t="str">
        <f t="shared" si="807"/>
        <v/>
      </c>
      <c r="BT278" s="184" t="str">
        <f t="shared" si="807"/>
        <v/>
      </c>
      <c r="BU278" s="184" t="str">
        <f t="shared" si="739"/>
        <v/>
      </c>
      <c r="BV278" s="184" t="str">
        <f t="shared" si="740"/>
        <v/>
      </c>
      <c r="BW278" s="184" t="str">
        <f t="shared" si="741"/>
        <v/>
      </c>
      <c r="BX278" s="184" t="str">
        <f t="shared" si="742"/>
        <v/>
      </c>
      <c r="BY278" s="184" t="str">
        <f t="shared" si="743"/>
        <v/>
      </c>
      <c r="BZ278" s="184" t="str">
        <f t="shared" si="744"/>
        <v/>
      </c>
      <c r="CA278" s="184" t="str">
        <f t="shared" si="745"/>
        <v/>
      </c>
      <c r="CB278" s="184" t="str">
        <f t="shared" si="746"/>
        <v/>
      </c>
      <c r="CC278" s="184" t="str">
        <f t="shared" si="747"/>
        <v/>
      </c>
      <c r="CD278" s="184" t="str">
        <f t="shared" si="748"/>
        <v/>
      </c>
      <c r="CE278" s="184" t="str">
        <f t="shared" si="749"/>
        <v/>
      </c>
      <c r="CF278" s="184" t="str">
        <f t="shared" si="750"/>
        <v/>
      </c>
      <c r="CG278" s="184" t="str">
        <f t="shared" si="751"/>
        <v/>
      </c>
      <c r="CH278" s="184" t="str">
        <f t="shared" si="752"/>
        <v/>
      </c>
      <c r="CI278" s="184" t="str">
        <f t="shared" si="753"/>
        <v/>
      </c>
      <c r="CJ278" s="184" t="str">
        <f t="shared" si="754"/>
        <v/>
      </c>
      <c r="CK278" s="184"/>
      <c r="CM278" s="184"/>
      <c r="CN278"/>
      <c r="CP278"/>
      <c r="CR278"/>
      <c r="CT278"/>
      <c r="CV278"/>
      <c r="CX278"/>
      <c r="CZ278"/>
      <c r="DB278"/>
      <c r="DD278"/>
      <c r="DF278"/>
      <c r="ED278" s="184"/>
      <c r="EF278" s="184"/>
      <c r="EH278" s="184"/>
      <c r="EJ278" s="184"/>
      <c r="EL278" s="184"/>
      <c r="EN278" s="184"/>
      <c r="EP278" s="184"/>
      <c r="ER278" s="184"/>
      <c r="ET278" s="184"/>
      <c r="EV278" s="184"/>
      <c r="EX278" s="184"/>
      <c r="EZ278" s="184"/>
      <c r="FB278" s="184"/>
    </row>
    <row r="279" spans="1:158">
      <c r="A279" s="184">
        <f t="shared" si="784"/>
        <v>69.5</v>
      </c>
      <c r="B279" s="18">
        <f t="shared" si="678"/>
        <v>12475</v>
      </c>
      <c r="C279" s="18">
        <f t="shared" si="755"/>
        <v>15325.000000000764</v>
      </c>
      <c r="D279" s="18">
        <f t="shared" si="756"/>
        <v>20287.500000000109</v>
      </c>
      <c r="E279" s="18">
        <f t="shared" si="691"/>
        <v>24787.499999999454</v>
      </c>
      <c r="F279" s="18">
        <f t="shared" si="692"/>
        <v>12662.499999999727</v>
      </c>
      <c r="G279" s="18">
        <f t="shared" si="693"/>
        <v>15587.499999999236</v>
      </c>
      <c r="H279" s="18">
        <f t="shared" si="694"/>
        <v>20250</v>
      </c>
      <c r="I279" s="18">
        <f t="shared" si="695"/>
        <v>12512.500000000355</v>
      </c>
      <c r="J279" s="18">
        <f t="shared" si="696"/>
        <v>16499.999999999236</v>
      </c>
      <c r="K279" s="18">
        <f t="shared" si="697"/>
        <v>20512.500000000273</v>
      </c>
      <c r="L279" s="18">
        <f t="shared" si="698"/>
        <v>24674.999999999291</v>
      </c>
      <c r="M279" s="18">
        <f t="shared" si="699"/>
        <v>31950.000000001528</v>
      </c>
      <c r="N279" s="18">
        <f t="shared" si="700"/>
        <v>15337.5</v>
      </c>
      <c r="O279" s="18">
        <f t="shared" si="701"/>
        <v>20387.500000000109</v>
      </c>
      <c r="P279" s="18">
        <f t="shared" si="702"/>
        <v>22587.5</v>
      </c>
      <c r="Q279" s="18">
        <f t="shared" si="703"/>
        <v>27550.000000001528</v>
      </c>
      <c r="R279" s="18">
        <f t="shared" si="704"/>
        <v>41512.5</v>
      </c>
      <c r="S279" s="18">
        <f t="shared" si="705"/>
        <v>24437.500000001201</v>
      </c>
      <c r="T279" s="18">
        <f t="shared" si="706"/>
        <v>27568.749999998472</v>
      </c>
      <c r="U279" s="18">
        <f t="shared" si="707"/>
        <v>31324.149999999518</v>
      </c>
      <c r="V279" s="18">
        <f t="shared" si="708"/>
        <v>39968.999999997905</v>
      </c>
      <c r="W279" s="18">
        <f t="shared" si="709"/>
        <v>50183.299999996307</v>
      </c>
      <c r="X279" s="18">
        <f t="shared" si="710"/>
        <v>62079.750000002095</v>
      </c>
      <c r="Y279" s="18">
        <f t="shared" si="711"/>
        <v>58124.999999996944</v>
      </c>
      <c r="Z279" s="18">
        <f t="shared" si="710"/>
        <v>49159.999999997599</v>
      </c>
      <c r="AA279" s="18">
        <f t="shared" ref="AA279:AB279" si="808">AA278+(AA$234-AA$233)/2</f>
        <v>56920.000000003056</v>
      </c>
      <c r="AB279" s="18">
        <f t="shared" si="808"/>
        <v>72435</v>
      </c>
      <c r="AC279" s="18">
        <f t="shared" si="679"/>
        <v>45500</v>
      </c>
      <c r="AD279" s="18">
        <f t="shared" si="766"/>
        <v>58500</v>
      </c>
      <c r="AE279" s="18">
        <f t="shared" si="767"/>
        <v>68250</v>
      </c>
      <c r="AF279" s="18">
        <f t="shared" si="768"/>
        <v>78000</v>
      </c>
      <c r="AG279" s="18">
        <f t="shared" si="769"/>
        <v>97500</v>
      </c>
      <c r="AH279" s="18">
        <f t="shared" si="769"/>
        <v>61750</v>
      </c>
      <c r="AI279" s="18">
        <f t="shared" si="769"/>
        <v>74100</v>
      </c>
      <c r="AJ279" s="18">
        <f t="shared" si="769"/>
        <v>81250</v>
      </c>
      <c r="AK279" s="18">
        <f t="shared" si="769"/>
        <v>94250</v>
      </c>
      <c r="AL279" s="18">
        <f t="shared" si="770"/>
        <v>71500</v>
      </c>
      <c r="AM279" s="18">
        <f t="shared" si="771"/>
        <v>81250</v>
      </c>
      <c r="AN279" s="18">
        <f t="shared" si="772"/>
        <v>92950</v>
      </c>
      <c r="AO279" s="18">
        <f t="shared" si="773"/>
        <v>146250</v>
      </c>
      <c r="AP279" s="18">
        <f t="shared" si="774"/>
        <v>156000</v>
      </c>
      <c r="AQ279" s="18">
        <f t="shared" si="775"/>
        <v>175500</v>
      </c>
      <c r="AR279" s="18">
        <f t="shared" si="776"/>
        <v>478400</v>
      </c>
      <c r="AS279" s="18">
        <f t="shared" si="805"/>
        <v>0</v>
      </c>
      <c r="AT279" s="184" t="str">
        <f t="shared" si="714"/>
        <v/>
      </c>
      <c r="AU279" s="184" t="str">
        <f t="shared" si="715"/>
        <v/>
      </c>
      <c r="AV279" s="184" t="str">
        <f t="shared" si="716"/>
        <v/>
      </c>
      <c r="AW279" s="184" t="str">
        <f t="shared" si="717"/>
        <v/>
      </c>
      <c r="AX279" s="184" t="str">
        <f t="shared" si="718"/>
        <v/>
      </c>
      <c r="AY279" s="184" t="str">
        <f t="shared" si="719"/>
        <v/>
      </c>
      <c r="AZ279" s="184" t="str">
        <f t="shared" si="720"/>
        <v/>
      </c>
      <c r="BA279" s="184" t="str">
        <f t="shared" si="721"/>
        <v/>
      </c>
      <c r="BB279" s="184" t="str">
        <f t="shared" si="722"/>
        <v/>
      </c>
      <c r="BC279" s="184" t="str">
        <f t="shared" si="723"/>
        <v/>
      </c>
      <c r="BD279" s="184" t="str">
        <f t="shared" si="724"/>
        <v/>
      </c>
      <c r="BE279" s="184" t="str">
        <f t="shared" si="725"/>
        <v/>
      </c>
      <c r="BF279" s="184" t="str">
        <f t="shared" si="726"/>
        <v/>
      </c>
      <c r="BG279" s="184" t="str">
        <f t="shared" si="727"/>
        <v/>
      </c>
      <c r="BH279" s="184" t="str">
        <f t="shared" si="728"/>
        <v/>
      </c>
      <c r="BI279" s="184" t="str">
        <f t="shared" si="729"/>
        <v/>
      </c>
      <c r="BJ279" s="184" t="str">
        <f t="shared" si="730"/>
        <v/>
      </c>
      <c r="BK279" s="184" t="str">
        <f t="shared" si="731"/>
        <v/>
      </c>
      <c r="BL279" s="184" t="str">
        <f t="shared" si="732"/>
        <v/>
      </c>
      <c r="BM279" s="184" t="str">
        <f t="shared" si="733"/>
        <v/>
      </c>
      <c r="BN279" s="184" t="str">
        <f t="shared" si="734"/>
        <v/>
      </c>
      <c r="BO279" s="184" t="str">
        <f t="shared" si="735"/>
        <v/>
      </c>
      <c r="BP279" s="184" t="str">
        <f t="shared" si="736"/>
        <v/>
      </c>
      <c r="BQ279" s="184" t="str">
        <f t="shared" si="737"/>
        <v/>
      </c>
      <c r="BR279" s="184" t="str">
        <f t="shared" si="807"/>
        <v/>
      </c>
      <c r="BS279" s="184" t="str">
        <f t="shared" si="807"/>
        <v/>
      </c>
      <c r="BT279" s="184" t="str">
        <f t="shared" si="807"/>
        <v/>
      </c>
      <c r="BU279" s="184" t="str">
        <f t="shared" si="739"/>
        <v/>
      </c>
      <c r="BV279" s="184" t="str">
        <f t="shared" si="740"/>
        <v/>
      </c>
      <c r="BW279" s="184" t="str">
        <f t="shared" si="741"/>
        <v/>
      </c>
      <c r="BX279" s="184" t="str">
        <f t="shared" si="742"/>
        <v/>
      </c>
      <c r="BY279" s="184" t="str">
        <f t="shared" si="743"/>
        <v/>
      </c>
      <c r="BZ279" s="184" t="str">
        <f t="shared" si="744"/>
        <v/>
      </c>
      <c r="CA279" s="184" t="str">
        <f t="shared" si="745"/>
        <v/>
      </c>
      <c r="CB279" s="184" t="str">
        <f t="shared" si="746"/>
        <v/>
      </c>
      <c r="CC279" s="184" t="str">
        <f t="shared" si="747"/>
        <v/>
      </c>
      <c r="CD279" s="184" t="str">
        <f t="shared" si="748"/>
        <v/>
      </c>
      <c r="CE279" s="184" t="str">
        <f t="shared" si="749"/>
        <v/>
      </c>
      <c r="CF279" s="184" t="str">
        <f t="shared" si="750"/>
        <v/>
      </c>
      <c r="CG279" s="184" t="str">
        <f t="shared" si="751"/>
        <v/>
      </c>
      <c r="CH279" s="184" t="str">
        <f t="shared" si="752"/>
        <v/>
      </c>
      <c r="CI279" s="184" t="str">
        <f t="shared" si="753"/>
        <v/>
      </c>
      <c r="CJ279" s="184" t="str">
        <f t="shared" si="754"/>
        <v/>
      </c>
      <c r="CK279" s="184"/>
      <c r="CM279" s="184"/>
      <c r="CN279"/>
      <c r="CP279"/>
      <c r="CR279"/>
      <c r="CT279"/>
      <c r="CV279"/>
      <c r="CX279"/>
      <c r="CZ279"/>
      <c r="DB279"/>
      <c r="DD279"/>
      <c r="DF279"/>
      <c r="ED279" s="184"/>
      <c r="EF279" s="184"/>
      <c r="EH279" s="184"/>
      <c r="EJ279" s="184"/>
      <c r="EL279" s="184"/>
      <c r="EN279" s="184"/>
      <c r="EP279" s="184"/>
      <c r="ER279" s="184"/>
      <c r="ET279" s="184"/>
      <c r="EV279" s="184"/>
      <c r="EX279" s="184"/>
      <c r="EZ279" s="184"/>
      <c r="FB279" s="184"/>
    </row>
    <row r="280" spans="1:158">
      <c r="A280" s="184">
        <f t="shared" si="784"/>
        <v>70</v>
      </c>
      <c r="B280" s="18">
        <f t="shared" si="678"/>
        <v>12510</v>
      </c>
      <c r="C280" s="18">
        <f t="shared" si="755"/>
        <v>15363.333333334114</v>
      </c>
      <c r="D280" s="18">
        <f t="shared" si="756"/>
        <v>20338.333333333445</v>
      </c>
      <c r="E280" s="18">
        <f t="shared" si="691"/>
        <v>24858.333333332776</v>
      </c>
      <c r="F280" s="18">
        <f t="shared" si="692"/>
        <v>12701.666666666388</v>
      </c>
      <c r="G280" s="18">
        <f t="shared" si="693"/>
        <v>15631.666666665886</v>
      </c>
      <c r="H280" s="18">
        <f t="shared" si="694"/>
        <v>20300</v>
      </c>
      <c r="I280" s="18">
        <f t="shared" si="695"/>
        <v>12548.333333333696</v>
      </c>
      <c r="J280" s="18">
        <f t="shared" si="696"/>
        <v>16546.666666665886</v>
      </c>
      <c r="K280" s="18">
        <f t="shared" si="697"/>
        <v>20568.333333333612</v>
      </c>
      <c r="L280" s="18">
        <f t="shared" si="698"/>
        <v>24743.333333332608</v>
      </c>
      <c r="M280" s="18">
        <f t="shared" si="699"/>
        <v>32046.666666668229</v>
      </c>
      <c r="N280" s="18">
        <f t="shared" si="700"/>
        <v>15365</v>
      </c>
      <c r="O280" s="18">
        <f t="shared" si="701"/>
        <v>20438.333333333445</v>
      </c>
      <c r="P280" s="18">
        <f t="shared" si="702"/>
        <v>22625</v>
      </c>
      <c r="Q280" s="18">
        <f t="shared" si="703"/>
        <v>27606.666666668229</v>
      </c>
      <c r="R280" s="18">
        <f t="shared" si="704"/>
        <v>41615</v>
      </c>
      <c r="S280" s="18">
        <f t="shared" si="705"/>
        <v>24491.666666667894</v>
      </c>
      <c r="T280" s="18">
        <f t="shared" si="706"/>
        <v>27625.833333331771</v>
      </c>
      <c r="U280" s="18">
        <f t="shared" si="707"/>
        <v>31384.686666666174</v>
      </c>
      <c r="V280" s="18">
        <f t="shared" si="708"/>
        <v>40057.199999997858</v>
      </c>
      <c r="W280" s="18">
        <f t="shared" si="709"/>
        <v>50294.039999996225</v>
      </c>
      <c r="X280" s="18">
        <f t="shared" si="710"/>
        <v>62259.300000002142</v>
      </c>
      <c r="Y280" s="18">
        <f t="shared" si="711"/>
        <v>58216.666666663543</v>
      </c>
      <c r="Z280" s="18">
        <f t="shared" si="710"/>
        <v>49274.666666664212</v>
      </c>
      <c r="AA280" s="18">
        <f t="shared" ref="AA280:AB280" si="809">AA279+(AA$234-AA$233)/2</f>
        <v>57029.333333336457</v>
      </c>
      <c r="AB280" s="18">
        <f t="shared" si="809"/>
        <v>72578</v>
      </c>
      <c r="AC280" s="18">
        <f t="shared" si="679"/>
        <v>46200</v>
      </c>
      <c r="AD280" s="18">
        <f t="shared" si="766"/>
        <v>59400</v>
      </c>
      <c r="AE280" s="18">
        <f t="shared" si="767"/>
        <v>69300</v>
      </c>
      <c r="AF280" s="18">
        <f t="shared" si="768"/>
        <v>79200</v>
      </c>
      <c r="AG280" s="18">
        <f t="shared" si="769"/>
        <v>99000</v>
      </c>
      <c r="AH280" s="18">
        <f t="shared" si="769"/>
        <v>62700</v>
      </c>
      <c r="AI280" s="18">
        <f t="shared" si="769"/>
        <v>75240</v>
      </c>
      <c r="AJ280" s="18">
        <f t="shared" si="769"/>
        <v>82500</v>
      </c>
      <c r="AK280" s="18">
        <f t="shared" si="769"/>
        <v>95700</v>
      </c>
      <c r="AL280" s="18">
        <f t="shared" si="770"/>
        <v>72600</v>
      </c>
      <c r="AM280" s="18">
        <f t="shared" si="771"/>
        <v>82500</v>
      </c>
      <c r="AN280" s="18">
        <f t="shared" si="772"/>
        <v>94380</v>
      </c>
      <c r="AO280" s="18">
        <f t="shared" si="773"/>
        <v>148500</v>
      </c>
      <c r="AP280" s="18">
        <f t="shared" si="774"/>
        <v>158400</v>
      </c>
      <c r="AQ280" s="18">
        <f t="shared" si="775"/>
        <v>178200</v>
      </c>
      <c r="AR280" s="18">
        <f t="shared" si="776"/>
        <v>485760</v>
      </c>
      <c r="AS280" s="18">
        <f t="shared" si="805"/>
        <v>0</v>
      </c>
      <c r="AT280" s="184" t="str">
        <f t="shared" si="714"/>
        <v/>
      </c>
      <c r="AU280" s="184" t="str">
        <f t="shared" si="715"/>
        <v/>
      </c>
      <c r="AV280" s="184" t="str">
        <f t="shared" si="716"/>
        <v/>
      </c>
      <c r="AW280" s="184" t="str">
        <f t="shared" si="717"/>
        <v/>
      </c>
      <c r="AX280" s="184" t="str">
        <f t="shared" si="718"/>
        <v/>
      </c>
      <c r="AY280" s="184" t="str">
        <f t="shared" si="719"/>
        <v/>
      </c>
      <c r="AZ280" s="184" t="str">
        <f t="shared" si="720"/>
        <v/>
      </c>
      <c r="BA280" s="184" t="str">
        <f t="shared" si="721"/>
        <v/>
      </c>
      <c r="BB280" s="184" t="str">
        <f t="shared" si="722"/>
        <v/>
      </c>
      <c r="BC280" s="184" t="str">
        <f t="shared" si="723"/>
        <v/>
      </c>
      <c r="BD280" s="184" t="str">
        <f t="shared" si="724"/>
        <v/>
      </c>
      <c r="BE280" s="184" t="str">
        <f t="shared" si="725"/>
        <v/>
      </c>
      <c r="BF280" s="184" t="str">
        <f t="shared" si="726"/>
        <v/>
      </c>
      <c r="BG280" s="184" t="str">
        <f t="shared" si="727"/>
        <v/>
      </c>
      <c r="BH280" s="184" t="str">
        <f t="shared" si="728"/>
        <v/>
      </c>
      <c r="BI280" s="184" t="str">
        <f t="shared" si="729"/>
        <v/>
      </c>
      <c r="BJ280" s="184" t="str">
        <f t="shared" si="730"/>
        <v/>
      </c>
      <c r="BK280" s="184" t="str">
        <f t="shared" si="731"/>
        <v/>
      </c>
      <c r="BL280" s="184" t="str">
        <f t="shared" si="732"/>
        <v/>
      </c>
      <c r="BM280" s="184" t="str">
        <f t="shared" si="733"/>
        <v/>
      </c>
      <c r="BN280" s="184" t="str">
        <f t="shared" si="734"/>
        <v/>
      </c>
      <c r="BO280" s="184" t="str">
        <f t="shared" si="735"/>
        <v/>
      </c>
      <c r="BP280" s="184" t="str">
        <f t="shared" si="736"/>
        <v/>
      </c>
      <c r="BQ280" s="184" t="str">
        <f t="shared" si="737"/>
        <v/>
      </c>
      <c r="BR280" s="184" t="str">
        <f t="shared" si="807"/>
        <v/>
      </c>
      <c r="BS280" s="184" t="str">
        <f t="shared" si="807"/>
        <v/>
      </c>
      <c r="BT280" s="184" t="str">
        <f t="shared" si="807"/>
        <v/>
      </c>
      <c r="BU280" s="184" t="str">
        <f t="shared" si="739"/>
        <v/>
      </c>
      <c r="BV280" s="184" t="str">
        <f t="shared" si="740"/>
        <v/>
      </c>
      <c r="BW280" s="184" t="str">
        <f t="shared" si="741"/>
        <v/>
      </c>
      <c r="BX280" s="184" t="str">
        <f t="shared" si="742"/>
        <v/>
      </c>
      <c r="BY280" s="184" t="str">
        <f t="shared" si="743"/>
        <v/>
      </c>
      <c r="BZ280" s="184" t="str">
        <f t="shared" si="744"/>
        <v/>
      </c>
      <c r="CA280" s="184" t="str">
        <f t="shared" si="745"/>
        <v/>
      </c>
      <c r="CB280" s="184" t="str">
        <f t="shared" si="746"/>
        <v/>
      </c>
      <c r="CC280" s="184" t="str">
        <f t="shared" si="747"/>
        <v/>
      </c>
      <c r="CD280" s="184" t="str">
        <f t="shared" si="748"/>
        <v/>
      </c>
      <c r="CE280" s="184" t="str">
        <f t="shared" si="749"/>
        <v/>
      </c>
      <c r="CF280" s="184" t="str">
        <f t="shared" si="750"/>
        <v/>
      </c>
      <c r="CG280" s="184" t="str">
        <f t="shared" si="751"/>
        <v/>
      </c>
      <c r="CH280" s="184" t="str">
        <f t="shared" si="752"/>
        <v/>
      </c>
      <c r="CI280" s="184" t="str">
        <f t="shared" si="753"/>
        <v/>
      </c>
      <c r="CJ280" s="184" t="str">
        <f t="shared" si="754"/>
        <v/>
      </c>
      <c r="CK280" s="184"/>
      <c r="CM280" s="184"/>
      <c r="CN280"/>
      <c r="CP280"/>
      <c r="CR280"/>
      <c r="CT280"/>
      <c r="CV280"/>
      <c r="CX280"/>
      <c r="CZ280"/>
      <c r="DB280"/>
      <c r="DD280"/>
      <c r="DF280"/>
      <c r="ED280" s="184"/>
      <c r="EF280" s="184"/>
      <c r="EH280" s="184"/>
      <c r="EJ280" s="184"/>
      <c r="EL280" s="184"/>
      <c r="EN280" s="184"/>
      <c r="EP280" s="184"/>
      <c r="ER280" s="184"/>
      <c r="ET280" s="184"/>
      <c r="EV280" s="184"/>
      <c r="EX280" s="184"/>
      <c r="EZ280" s="184"/>
      <c r="FB280" s="184"/>
    </row>
    <row r="281" spans="1:158">
      <c r="A281" s="184">
        <f t="shared" si="784"/>
        <v>70.5</v>
      </c>
      <c r="B281" s="18">
        <f t="shared" si="678"/>
        <v>12545</v>
      </c>
      <c r="C281" s="18">
        <f t="shared" si="755"/>
        <v>15401.666666667465</v>
      </c>
      <c r="D281" s="18">
        <f t="shared" si="756"/>
        <v>20389.166666666781</v>
      </c>
      <c r="E281" s="18">
        <f t="shared" si="691"/>
        <v>24929.166666666097</v>
      </c>
      <c r="F281" s="18">
        <f t="shared" si="692"/>
        <v>12740.833333333048</v>
      </c>
      <c r="G281" s="18">
        <f t="shared" si="693"/>
        <v>15675.833333332535</v>
      </c>
      <c r="H281" s="18">
        <f t="shared" si="694"/>
        <v>20350</v>
      </c>
      <c r="I281" s="18">
        <f t="shared" si="695"/>
        <v>12584.166666667037</v>
      </c>
      <c r="J281" s="18">
        <f t="shared" si="696"/>
        <v>16593.333333332535</v>
      </c>
      <c r="K281" s="18">
        <f t="shared" si="697"/>
        <v>20624.166666666952</v>
      </c>
      <c r="L281" s="18">
        <f t="shared" si="698"/>
        <v>24811.666666665926</v>
      </c>
      <c r="M281" s="18">
        <f t="shared" si="699"/>
        <v>32143.333333334929</v>
      </c>
      <c r="N281" s="18">
        <f t="shared" si="700"/>
        <v>15392.5</v>
      </c>
      <c r="O281" s="18">
        <f t="shared" si="701"/>
        <v>20489.166666666781</v>
      </c>
      <c r="P281" s="18">
        <f t="shared" si="702"/>
        <v>22662.5</v>
      </c>
      <c r="Q281" s="18">
        <f t="shared" si="703"/>
        <v>27663.333333334929</v>
      </c>
      <c r="R281" s="18">
        <f t="shared" si="704"/>
        <v>41717.5</v>
      </c>
      <c r="S281" s="18">
        <f t="shared" si="705"/>
        <v>24545.833333334587</v>
      </c>
      <c r="T281" s="18">
        <f t="shared" si="706"/>
        <v>27682.916666665071</v>
      </c>
      <c r="U281" s="18">
        <f t="shared" si="707"/>
        <v>31445.223333332829</v>
      </c>
      <c r="V281" s="18">
        <f t="shared" si="708"/>
        <v>40145.399999997811</v>
      </c>
      <c r="W281" s="18">
        <f t="shared" si="709"/>
        <v>50404.779999996143</v>
      </c>
      <c r="X281" s="18">
        <f t="shared" si="710"/>
        <v>62438.850000002189</v>
      </c>
      <c r="Y281" s="18">
        <f t="shared" si="711"/>
        <v>58308.333333330142</v>
      </c>
      <c r="Z281" s="18">
        <f t="shared" si="710"/>
        <v>49389.333333330826</v>
      </c>
      <c r="AA281" s="18">
        <f t="shared" ref="AA281:AB281" si="810">AA280+(AA$234-AA$233)/2</f>
        <v>57138.666666669858</v>
      </c>
      <c r="AB281" s="18">
        <f t="shared" si="810"/>
        <v>72721</v>
      </c>
      <c r="AC281" s="18">
        <f t="shared" si="679"/>
        <v>46900</v>
      </c>
      <c r="AD281" s="18">
        <f t="shared" si="766"/>
        <v>60300</v>
      </c>
      <c r="AE281" s="18">
        <f t="shared" si="767"/>
        <v>70350</v>
      </c>
      <c r="AF281" s="18">
        <f t="shared" si="768"/>
        <v>80400</v>
      </c>
      <c r="AG281" s="18">
        <f t="shared" si="769"/>
        <v>100500</v>
      </c>
      <c r="AH281" s="18">
        <f t="shared" si="769"/>
        <v>63650</v>
      </c>
      <c r="AI281" s="18">
        <f t="shared" si="769"/>
        <v>76380</v>
      </c>
      <c r="AJ281" s="18">
        <f t="shared" si="769"/>
        <v>83750</v>
      </c>
      <c r="AK281" s="18">
        <f t="shared" si="769"/>
        <v>97150</v>
      </c>
      <c r="AL281" s="18">
        <f t="shared" si="770"/>
        <v>73700</v>
      </c>
      <c r="AM281" s="18">
        <f t="shared" si="771"/>
        <v>83750</v>
      </c>
      <c r="AN281" s="18">
        <f t="shared" si="772"/>
        <v>95810</v>
      </c>
      <c r="AO281" s="18">
        <f t="shared" si="773"/>
        <v>150750</v>
      </c>
      <c r="AP281" s="18">
        <f t="shared" si="774"/>
        <v>160800</v>
      </c>
      <c r="AQ281" s="18">
        <f t="shared" si="775"/>
        <v>180900</v>
      </c>
      <c r="AR281" s="18">
        <f t="shared" si="776"/>
        <v>493120</v>
      </c>
      <c r="AS281" s="18">
        <f t="shared" si="805"/>
        <v>0</v>
      </c>
      <c r="AT281" s="184" t="str">
        <f t="shared" si="714"/>
        <v/>
      </c>
      <c r="AU281" s="184" t="str">
        <f t="shared" si="715"/>
        <v/>
      </c>
      <c r="AV281" s="184" t="str">
        <f t="shared" si="716"/>
        <v/>
      </c>
      <c r="AW281" s="184" t="str">
        <f t="shared" si="717"/>
        <v/>
      </c>
      <c r="AX281" s="184" t="str">
        <f t="shared" si="718"/>
        <v/>
      </c>
      <c r="AY281" s="184" t="str">
        <f t="shared" si="719"/>
        <v/>
      </c>
      <c r="AZ281" s="184" t="str">
        <f t="shared" si="720"/>
        <v/>
      </c>
      <c r="BA281" s="184" t="str">
        <f t="shared" si="721"/>
        <v/>
      </c>
      <c r="BB281" s="184" t="str">
        <f t="shared" si="722"/>
        <v/>
      </c>
      <c r="BC281" s="184" t="str">
        <f t="shared" si="723"/>
        <v/>
      </c>
      <c r="BD281" s="184" t="str">
        <f t="shared" si="724"/>
        <v/>
      </c>
      <c r="BE281" s="184" t="str">
        <f t="shared" si="725"/>
        <v/>
      </c>
      <c r="BF281" s="184" t="str">
        <f t="shared" si="726"/>
        <v/>
      </c>
      <c r="BG281" s="184" t="str">
        <f t="shared" si="727"/>
        <v/>
      </c>
      <c r="BH281" s="184" t="str">
        <f t="shared" si="728"/>
        <v/>
      </c>
      <c r="BI281" s="184" t="str">
        <f t="shared" si="729"/>
        <v/>
      </c>
      <c r="BJ281" s="184" t="str">
        <f t="shared" si="730"/>
        <v/>
      </c>
      <c r="BK281" s="184" t="str">
        <f t="shared" si="731"/>
        <v/>
      </c>
      <c r="BL281" s="184" t="str">
        <f t="shared" si="732"/>
        <v/>
      </c>
      <c r="BM281" s="184" t="str">
        <f t="shared" si="733"/>
        <v/>
      </c>
      <c r="BN281" s="184" t="str">
        <f t="shared" si="734"/>
        <v/>
      </c>
      <c r="BO281" s="184" t="str">
        <f t="shared" si="735"/>
        <v/>
      </c>
      <c r="BP281" s="184" t="str">
        <f t="shared" si="736"/>
        <v/>
      </c>
      <c r="BQ281" s="184" t="str">
        <f t="shared" si="737"/>
        <v/>
      </c>
      <c r="BR281" s="184" t="str">
        <f t="shared" si="807"/>
        <v/>
      </c>
      <c r="BS281" s="184" t="str">
        <f t="shared" si="807"/>
        <v/>
      </c>
      <c r="BT281" s="184" t="str">
        <f t="shared" si="807"/>
        <v/>
      </c>
      <c r="BU281" s="184" t="str">
        <f t="shared" si="739"/>
        <v/>
      </c>
      <c r="BV281" s="184" t="str">
        <f t="shared" si="740"/>
        <v/>
      </c>
      <c r="BW281" s="184" t="str">
        <f t="shared" si="741"/>
        <v/>
      </c>
      <c r="BX281" s="184" t="str">
        <f t="shared" si="742"/>
        <v/>
      </c>
      <c r="BY281" s="184" t="str">
        <f t="shared" si="743"/>
        <v/>
      </c>
      <c r="BZ281" s="184" t="str">
        <f t="shared" si="744"/>
        <v/>
      </c>
      <c r="CA281" s="184" t="str">
        <f t="shared" si="745"/>
        <v/>
      </c>
      <c r="CB281" s="184" t="str">
        <f t="shared" si="746"/>
        <v/>
      </c>
      <c r="CC281" s="184" t="str">
        <f t="shared" si="747"/>
        <v/>
      </c>
      <c r="CD281" s="184" t="str">
        <f t="shared" si="748"/>
        <v/>
      </c>
      <c r="CE281" s="184" t="str">
        <f t="shared" si="749"/>
        <v/>
      </c>
      <c r="CF281" s="184" t="str">
        <f t="shared" si="750"/>
        <v/>
      </c>
      <c r="CG281" s="184" t="str">
        <f t="shared" si="751"/>
        <v/>
      </c>
      <c r="CH281" s="184" t="str">
        <f t="shared" si="752"/>
        <v/>
      </c>
      <c r="CI281" s="184" t="str">
        <f t="shared" si="753"/>
        <v/>
      </c>
      <c r="CJ281" s="184" t="str">
        <f t="shared" si="754"/>
        <v/>
      </c>
      <c r="CK281" s="184"/>
      <c r="CM281" s="184"/>
      <c r="CN281"/>
      <c r="CP281"/>
      <c r="CR281"/>
      <c r="CT281"/>
      <c r="CV281"/>
      <c r="CX281"/>
      <c r="CZ281"/>
      <c r="DB281"/>
      <c r="DD281"/>
      <c r="DF281"/>
      <c r="ED281" s="184"/>
      <c r="EF281" s="184"/>
      <c r="EH281" s="184"/>
      <c r="EJ281" s="184"/>
      <c r="EL281" s="184"/>
      <c r="EN281" s="184"/>
      <c r="EP281" s="184"/>
      <c r="ER281" s="184"/>
      <c r="ET281" s="184"/>
      <c r="EV281" s="184"/>
      <c r="EX281" s="184"/>
      <c r="EZ281" s="184"/>
      <c r="FB281" s="184"/>
    </row>
    <row r="282" spans="1:158">
      <c r="A282" s="184">
        <f t="shared" si="784"/>
        <v>71</v>
      </c>
      <c r="B282" s="18">
        <f t="shared" si="678"/>
        <v>12580</v>
      </c>
      <c r="C282" s="18">
        <f t="shared" si="755"/>
        <v>15440.000000000815</v>
      </c>
      <c r="D282" s="18">
        <f t="shared" si="756"/>
        <v>20440.000000000116</v>
      </c>
      <c r="E282" s="18">
        <f t="shared" si="691"/>
        <v>24999.999999999418</v>
      </c>
      <c r="F282" s="18">
        <f t="shared" si="692"/>
        <v>12779.999999999709</v>
      </c>
      <c r="G282" s="18">
        <f t="shared" si="693"/>
        <v>15719.999999999185</v>
      </c>
      <c r="H282" s="18">
        <f t="shared" si="694"/>
        <v>20400</v>
      </c>
      <c r="I282" s="18">
        <f t="shared" si="695"/>
        <v>12620.000000000378</v>
      </c>
      <c r="J282" s="18">
        <f t="shared" si="696"/>
        <v>16639.999999999185</v>
      </c>
      <c r="K282" s="18">
        <f t="shared" si="697"/>
        <v>20680.000000000291</v>
      </c>
      <c r="L282" s="18">
        <f t="shared" si="698"/>
        <v>24879.999999999243</v>
      </c>
      <c r="M282" s="18">
        <f t="shared" si="699"/>
        <v>32240.00000000163</v>
      </c>
      <c r="N282" s="18">
        <f t="shared" si="700"/>
        <v>15420</v>
      </c>
      <c r="O282" s="18">
        <f t="shared" si="701"/>
        <v>20540.000000000116</v>
      </c>
      <c r="P282" s="18">
        <f t="shared" si="702"/>
        <v>22700</v>
      </c>
      <c r="Q282" s="18">
        <f t="shared" si="703"/>
        <v>27720.00000000163</v>
      </c>
      <c r="R282" s="18">
        <f t="shared" si="704"/>
        <v>41820</v>
      </c>
      <c r="S282" s="18">
        <f t="shared" si="705"/>
        <v>24600.000000001281</v>
      </c>
      <c r="T282" s="18">
        <f t="shared" si="706"/>
        <v>27739.99999999837</v>
      </c>
      <c r="U282" s="18">
        <f t="shared" si="707"/>
        <v>31505.759999999485</v>
      </c>
      <c r="V282" s="18">
        <f t="shared" si="708"/>
        <v>40233.599999997765</v>
      </c>
      <c r="W282" s="18">
        <f t="shared" si="709"/>
        <v>50515.519999996061</v>
      </c>
      <c r="X282" s="18">
        <f t="shared" si="710"/>
        <v>62618.400000002235</v>
      </c>
      <c r="Y282" s="18">
        <f t="shared" si="711"/>
        <v>58399.99999999674</v>
      </c>
      <c r="Z282" s="18">
        <f t="shared" si="710"/>
        <v>49503.999999997439</v>
      </c>
      <c r="AA282" s="18">
        <f t="shared" ref="AA282:AB282" si="811">AA281+(AA$234-AA$233)/2</f>
        <v>57248.00000000326</v>
      </c>
      <c r="AB282" s="18">
        <f t="shared" si="811"/>
        <v>72864</v>
      </c>
      <c r="AC282" s="18">
        <f t="shared" si="679"/>
        <v>47600</v>
      </c>
      <c r="AD282" s="18">
        <f t="shared" si="766"/>
        <v>61200</v>
      </c>
      <c r="AE282" s="18">
        <f t="shared" si="767"/>
        <v>71400</v>
      </c>
      <c r="AF282" s="18">
        <f t="shared" si="768"/>
        <v>81600</v>
      </c>
      <c r="AG282" s="18">
        <f t="shared" si="769"/>
        <v>102000</v>
      </c>
      <c r="AH282" s="18">
        <f t="shared" si="769"/>
        <v>64600</v>
      </c>
      <c r="AI282" s="18">
        <f t="shared" si="769"/>
        <v>77520</v>
      </c>
      <c r="AJ282" s="18">
        <f t="shared" si="769"/>
        <v>85000</v>
      </c>
      <c r="AK282" s="18">
        <f t="shared" si="769"/>
        <v>98600</v>
      </c>
      <c r="AL282" s="18">
        <f t="shared" si="770"/>
        <v>74800</v>
      </c>
      <c r="AM282" s="18">
        <f t="shared" si="771"/>
        <v>85000</v>
      </c>
      <c r="AN282" s="18">
        <f t="shared" si="772"/>
        <v>97240</v>
      </c>
      <c r="AO282" s="18">
        <f t="shared" si="773"/>
        <v>153000</v>
      </c>
      <c r="AP282" s="18">
        <f t="shared" si="774"/>
        <v>163200</v>
      </c>
      <c r="AQ282" s="18">
        <f t="shared" si="775"/>
        <v>183600</v>
      </c>
      <c r="AR282" s="18">
        <f t="shared" si="776"/>
        <v>500480</v>
      </c>
      <c r="AS282" s="18">
        <f t="shared" si="805"/>
        <v>0</v>
      </c>
      <c r="AT282" s="184" t="str">
        <f t="shared" si="714"/>
        <v/>
      </c>
      <c r="AU282" s="184" t="str">
        <f t="shared" si="715"/>
        <v/>
      </c>
      <c r="AV282" s="184" t="str">
        <f t="shared" si="716"/>
        <v/>
      </c>
      <c r="AW282" s="184" t="str">
        <f t="shared" si="717"/>
        <v/>
      </c>
      <c r="AX282" s="184" t="str">
        <f t="shared" si="718"/>
        <v/>
      </c>
      <c r="AY282" s="184" t="str">
        <f t="shared" si="719"/>
        <v/>
      </c>
      <c r="AZ282" s="184" t="str">
        <f t="shared" si="720"/>
        <v/>
      </c>
      <c r="BA282" s="184" t="str">
        <f t="shared" si="721"/>
        <v/>
      </c>
      <c r="BB282" s="184" t="str">
        <f t="shared" si="722"/>
        <v/>
      </c>
      <c r="BC282" s="184" t="str">
        <f t="shared" si="723"/>
        <v/>
      </c>
      <c r="BD282" s="184" t="str">
        <f t="shared" si="724"/>
        <v/>
      </c>
      <c r="BE282" s="184" t="str">
        <f t="shared" si="725"/>
        <v/>
      </c>
      <c r="BF282" s="184" t="str">
        <f t="shared" si="726"/>
        <v/>
      </c>
      <c r="BG282" s="184" t="str">
        <f t="shared" si="727"/>
        <v/>
      </c>
      <c r="BH282" s="184" t="str">
        <f t="shared" si="728"/>
        <v/>
      </c>
      <c r="BI282" s="184" t="str">
        <f t="shared" si="729"/>
        <v/>
      </c>
      <c r="BJ282" s="184" t="str">
        <f t="shared" si="730"/>
        <v/>
      </c>
      <c r="BK282" s="184" t="str">
        <f t="shared" si="731"/>
        <v/>
      </c>
      <c r="BL282" s="184" t="str">
        <f t="shared" si="732"/>
        <v/>
      </c>
      <c r="BM282" s="184" t="str">
        <f t="shared" si="733"/>
        <v/>
      </c>
      <c r="BN282" s="184" t="str">
        <f t="shared" si="734"/>
        <v/>
      </c>
      <c r="BO282" s="184" t="str">
        <f t="shared" si="735"/>
        <v/>
      </c>
      <c r="BP282" s="184" t="str">
        <f t="shared" si="736"/>
        <v/>
      </c>
      <c r="BQ282" s="184" t="str">
        <f t="shared" si="737"/>
        <v/>
      </c>
      <c r="BR282" s="184" t="str">
        <f t="shared" si="807"/>
        <v/>
      </c>
      <c r="BS282" s="184" t="str">
        <f t="shared" si="807"/>
        <v/>
      </c>
      <c r="BT282" s="184" t="str">
        <f t="shared" si="807"/>
        <v/>
      </c>
      <c r="BU282" s="184" t="str">
        <f t="shared" si="739"/>
        <v/>
      </c>
      <c r="BV282" s="184" t="str">
        <f t="shared" si="740"/>
        <v/>
      </c>
      <c r="BW282" s="184" t="str">
        <f t="shared" si="741"/>
        <v/>
      </c>
      <c r="BX282" s="184" t="str">
        <f t="shared" si="742"/>
        <v/>
      </c>
      <c r="BY282" s="184" t="str">
        <f t="shared" si="743"/>
        <v/>
      </c>
      <c r="BZ282" s="184" t="str">
        <f t="shared" si="744"/>
        <v/>
      </c>
      <c r="CA282" s="184" t="str">
        <f t="shared" si="745"/>
        <v/>
      </c>
      <c r="CB282" s="184" t="str">
        <f t="shared" si="746"/>
        <v/>
      </c>
      <c r="CC282" s="184" t="str">
        <f t="shared" si="747"/>
        <v/>
      </c>
      <c r="CD282" s="184" t="str">
        <f t="shared" si="748"/>
        <v/>
      </c>
      <c r="CE282" s="184" t="str">
        <f t="shared" si="749"/>
        <v/>
      </c>
      <c r="CF282" s="184" t="str">
        <f t="shared" si="750"/>
        <v/>
      </c>
      <c r="CG282" s="184" t="str">
        <f t="shared" si="751"/>
        <v/>
      </c>
      <c r="CH282" s="184" t="str">
        <f t="shared" si="752"/>
        <v/>
      </c>
      <c r="CI282" s="184" t="str">
        <f t="shared" si="753"/>
        <v/>
      </c>
      <c r="CJ282" s="184" t="str">
        <f t="shared" si="754"/>
        <v/>
      </c>
      <c r="CK282" s="184"/>
      <c r="CM282" s="184"/>
      <c r="CN282"/>
      <c r="CP282"/>
      <c r="CR282"/>
      <c r="CT282"/>
      <c r="CV282"/>
      <c r="CX282"/>
      <c r="CZ282"/>
      <c r="DB282"/>
      <c r="DD282"/>
      <c r="DF282"/>
      <c r="ED282" s="184"/>
      <c r="EF282" s="184"/>
      <c r="EH282" s="184"/>
      <c r="EJ282" s="184"/>
      <c r="EL282" s="184"/>
      <c r="EN282" s="184"/>
      <c r="EP282" s="184"/>
      <c r="ER282" s="184"/>
      <c r="ET282" s="184"/>
      <c r="EV282" s="184"/>
      <c r="EX282" s="184"/>
      <c r="EZ282" s="184"/>
      <c r="FB282" s="184"/>
    </row>
    <row r="283" spans="1:158">
      <c r="Z283" s="184"/>
      <c r="AA283" s="184"/>
      <c r="AB283" s="184"/>
      <c r="AC283" s="184"/>
      <c r="AD283" s="184"/>
      <c r="AE283" s="184"/>
      <c r="AF283" s="184"/>
      <c r="AG283" s="184"/>
      <c r="AH283" s="184"/>
      <c r="AI283" s="184"/>
      <c r="AJ283" s="184"/>
      <c r="AK283" s="184"/>
      <c r="AL283" s="184"/>
      <c r="AM283" s="184"/>
      <c r="AN283" s="184"/>
      <c r="AQ283" s="184"/>
      <c r="AR283" s="184"/>
      <c r="AS283" s="184"/>
      <c r="AT283">
        <f>LOOKUP(1,AT85:AT282,$A$85:$A$282)</f>
        <v>44</v>
      </c>
      <c r="AU283" s="184">
        <f t="shared" ref="AU283:CJ283" si="812">LOOKUP(1,AU85:AU282,$A$85:$A$282)</f>
        <v>41</v>
      </c>
      <c r="AV283" s="184">
        <f t="shared" si="812"/>
        <v>36</v>
      </c>
      <c r="AW283" s="184">
        <f t="shared" si="812"/>
        <v>33</v>
      </c>
      <c r="AX283" s="184">
        <f t="shared" si="812"/>
        <v>44.5</v>
      </c>
      <c r="AY283" s="184">
        <f t="shared" si="812"/>
        <v>41</v>
      </c>
      <c r="AZ283" s="184">
        <f t="shared" si="812"/>
        <v>36</v>
      </c>
      <c r="BA283" s="184">
        <f t="shared" si="812"/>
        <v>44</v>
      </c>
      <c r="BB283" s="184">
        <f t="shared" si="812"/>
        <v>40</v>
      </c>
      <c r="BC283" s="184">
        <f t="shared" si="812"/>
        <v>36.5</v>
      </c>
      <c r="BD283" s="184">
        <f t="shared" si="812"/>
        <v>33</v>
      </c>
      <c r="BE283" s="184">
        <f t="shared" si="812"/>
        <v>29</v>
      </c>
      <c r="BF283" s="184">
        <f t="shared" si="812"/>
        <v>40</v>
      </c>
      <c r="BG283" s="184">
        <f t="shared" si="812"/>
        <v>36</v>
      </c>
      <c r="BH283" s="184">
        <f t="shared" si="812"/>
        <v>32</v>
      </c>
      <c r="BI283" s="184">
        <f t="shared" si="812"/>
        <v>28.5</v>
      </c>
      <c r="BJ283" s="184">
        <f t="shared" si="812"/>
        <v>20.5</v>
      </c>
      <c r="BK283" s="184">
        <f t="shared" si="812"/>
        <v>31.5</v>
      </c>
      <c r="BL283" s="184">
        <f t="shared" si="812"/>
        <v>28.5</v>
      </c>
      <c r="BM283" s="184">
        <f t="shared" si="812"/>
        <v>25</v>
      </c>
      <c r="BN283" s="184">
        <f t="shared" si="812"/>
        <v>20</v>
      </c>
      <c r="BO283" s="184">
        <f t="shared" si="812"/>
        <v>14.5</v>
      </c>
      <c r="BP283" s="184">
        <f t="shared" si="812"/>
        <v>12</v>
      </c>
      <c r="BQ283" s="184">
        <f t="shared" si="812"/>
        <v>7.5</v>
      </c>
      <c r="BR283" s="184">
        <f t="shared" ref="BR283:BT283" si="813">LOOKUP(1,BR85:BR282,$A$85:$A$282)</f>
        <v>15</v>
      </c>
      <c r="BS283" s="184">
        <f t="shared" si="813"/>
        <v>8</v>
      </c>
      <c r="BT283" s="184">
        <f t="shared" si="813"/>
        <v>4.5</v>
      </c>
      <c r="BU283" s="184">
        <f t="shared" si="812"/>
        <v>40</v>
      </c>
      <c r="BV283" s="184">
        <f t="shared" si="812"/>
        <v>36</v>
      </c>
      <c r="BW283" s="184">
        <f t="shared" si="812"/>
        <v>33.5</v>
      </c>
      <c r="BX283" s="184">
        <f t="shared" si="812"/>
        <v>29</v>
      </c>
      <c r="BY283" s="184">
        <f t="shared" si="812"/>
        <v>25</v>
      </c>
      <c r="BZ283" s="184">
        <f t="shared" si="812"/>
        <v>34.5</v>
      </c>
      <c r="CA283" s="184">
        <f t="shared" si="812"/>
        <v>31.5</v>
      </c>
      <c r="CB283" s="184">
        <f t="shared" si="812"/>
        <v>26.5</v>
      </c>
      <c r="CC283" s="184">
        <f t="shared" si="812"/>
        <v>23</v>
      </c>
      <c r="CD283" s="184">
        <f t="shared" si="812"/>
        <v>26.5</v>
      </c>
      <c r="CE283" s="184">
        <f t="shared" si="812"/>
        <v>22</v>
      </c>
      <c r="CF283" s="184">
        <f t="shared" si="812"/>
        <v>16.5</v>
      </c>
      <c r="CG283" s="184">
        <f t="shared" si="812"/>
        <v>4.5</v>
      </c>
      <c r="CH283" s="184">
        <f t="shared" si="812"/>
        <v>2</v>
      </c>
      <c r="CI283" s="184">
        <f t="shared" si="812"/>
        <v>-3</v>
      </c>
      <c r="CJ283" s="184">
        <f t="shared" si="812"/>
        <v>-18</v>
      </c>
      <c r="CL283"/>
      <c r="CN283"/>
      <c r="CP283"/>
      <c r="CR283"/>
      <c r="CT283"/>
      <c r="CV283"/>
      <c r="CX283"/>
      <c r="CZ283"/>
      <c r="DB283"/>
      <c r="ED283" s="184"/>
      <c r="EF283" s="184"/>
      <c r="EH283" s="184"/>
      <c r="EJ283" s="184"/>
      <c r="EL283" s="184"/>
      <c r="EN283" s="184"/>
      <c r="EP283" s="184"/>
      <c r="ER283" s="184"/>
      <c r="ET283" s="184"/>
      <c r="EV283" s="184"/>
      <c r="EX283" s="184"/>
    </row>
    <row r="284" spans="1:158" ht="17.5">
      <c r="Z284" s="184"/>
      <c r="AA284" s="184"/>
      <c r="AB284" s="184"/>
      <c r="AC284" s="184"/>
      <c r="AD284" s="184"/>
      <c r="AE284" s="184"/>
      <c r="AF284" s="184"/>
      <c r="AG284" s="184"/>
      <c r="AH284" s="184"/>
      <c r="AI284" s="184"/>
      <c r="AJ284" s="184"/>
      <c r="AK284" s="184"/>
      <c r="AM284" s="331"/>
      <c r="CH284"/>
      <c r="CJ284"/>
      <c r="CL284"/>
      <c r="CN284"/>
      <c r="CP284"/>
      <c r="CR284"/>
      <c r="ED284" s="184"/>
      <c r="EF284" s="184"/>
      <c r="EH284" s="184"/>
      <c r="EJ284" s="184"/>
      <c r="EL284" s="184"/>
      <c r="EN284" s="184"/>
    </row>
    <row r="285" spans="1:158">
      <c r="Z285" s="184"/>
      <c r="AA285" s="184"/>
      <c r="AB285" s="184"/>
      <c r="AC285" s="184"/>
      <c r="AD285" s="184"/>
      <c r="AE285" s="184"/>
      <c r="AF285" s="184"/>
      <c r="AG285" s="184"/>
      <c r="AH285" s="184"/>
      <c r="AI285" s="184"/>
      <c r="AJ285" s="184"/>
      <c r="AK285" s="184"/>
      <c r="CH285"/>
      <c r="CJ285"/>
      <c r="CL285"/>
      <c r="CN285"/>
      <c r="CP285"/>
      <c r="CR285"/>
      <c r="ED285" s="184"/>
      <c r="EF285" s="184"/>
      <c r="EH285" s="184"/>
      <c r="EJ285" s="184"/>
      <c r="EL285" s="184"/>
      <c r="EN285" s="184"/>
    </row>
    <row r="286" spans="1:158">
      <c r="Z286" s="184"/>
      <c r="AA286" s="184"/>
      <c r="AB286" s="184"/>
      <c r="AC286" s="184"/>
      <c r="AD286" s="184"/>
      <c r="AE286" s="184"/>
      <c r="AF286" s="184"/>
      <c r="AG286" s="184"/>
      <c r="AH286" s="184"/>
      <c r="AI286" s="184"/>
      <c r="AJ286" s="184"/>
      <c r="AK286" s="184"/>
      <c r="CH286"/>
      <c r="CJ286"/>
      <c r="CL286"/>
      <c r="CN286"/>
      <c r="CP286"/>
      <c r="CR286"/>
      <c r="ED286" s="184"/>
      <c r="EF286" s="184"/>
      <c r="EH286" s="184"/>
      <c r="EJ286" s="184"/>
      <c r="EL286" s="184"/>
      <c r="EN286" s="184"/>
    </row>
    <row r="287" spans="1:158">
      <c r="Z287" s="184"/>
      <c r="AA287" s="184"/>
      <c r="AB287" s="184"/>
      <c r="AC287" s="184"/>
      <c r="AD287" s="184"/>
      <c r="AE287" s="184"/>
      <c r="AF287" s="184"/>
      <c r="AG287" s="184"/>
      <c r="AH287" s="184"/>
      <c r="AI287" s="184"/>
      <c r="AJ287" s="184"/>
      <c r="AK287" s="184"/>
      <c r="CH287"/>
      <c r="CJ287"/>
      <c r="CL287"/>
      <c r="CN287"/>
      <c r="CP287"/>
      <c r="CR287"/>
      <c r="ED287" s="184"/>
      <c r="EF287" s="184"/>
      <c r="EH287" s="184"/>
      <c r="EJ287" s="184"/>
      <c r="EL287" s="184"/>
      <c r="EN287" s="184"/>
    </row>
    <row r="288" spans="1:158">
      <c r="Z288" s="184"/>
      <c r="AA288" s="184"/>
      <c r="AB288" s="184"/>
      <c r="AC288" s="184"/>
      <c r="AD288" s="184"/>
      <c r="AE288" s="184"/>
      <c r="AF288" s="184"/>
      <c r="AG288" s="184"/>
      <c r="AH288" s="184"/>
      <c r="AI288" s="184"/>
      <c r="AJ288" s="184"/>
      <c r="AK288" s="184"/>
      <c r="CH288"/>
      <c r="CJ288"/>
      <c r="CL288"/>
      <c r="CN288"/>
      <c r="CP288"/>
      <c r="CR288"/>
      <c r="ED288" s="184"/>
      <c r="EF288" s="184"/>
      <c r="EH288" s="184"/>
      <c r="EJ288" s="184"/>
      <c r="EL288" s="184"/>
      <c r="EN288" s="184"/>
    </row>
    <row r="289" spans="26:144">
      <c r="Z289" s="184"/>
      <c r="AA289" s="184"/>
      <c r="AB289" s="184"/>
      <c r="AC289" s="184"/>
      <c r="AD289" s="184"/>
      <c r="AE289" s="184"/>
      <c r="AF289" s="184"/>
      <c r="AG289" s="184"/>
      <c r="AH289" s="184"/>
      <c r="AI289" s="184"/>
      <c r="AJ289" s="184"/>
      <c r="AK289" s="184"/>
      <c r="CH289"/>
      <c r="CJ289"/>
      <c r="CL289"/>
      <c r="CN289"/>
      <c r="CP289"/>
      <c r="CR289"/>
      <c r="ED289" s="184"/>
      <c r="EF289" s="184"/>
      <c r="EH289" s="184"/>
      <c r="EJ289" s="184"/>
      <c r="EL289" s="184"/>
      <c r="EN289" s="184"/>
    </row>
    <row r="290" spans="26:144">
      <c r="Z290" s="184"/>
      <c r="AA290" s="184"/>
      <c r="AB290" s="184"/>
      <c r="AC290" s="184"/>
      <c r="AD290" s="184"/>
      <c r="AE290" s="184"/>
      <c r="AF290" s="184"/>
      <c r="AG290" s="184"/>
      <c r="AH290" s="184"/>
      <c r="AI290" s="184"/>
      <c r="AJ290" s="184"/>
      <c r="AK290" s="184"/>
      <c r="CH290"/>
      <c r="CJ290"/>
      <c r="CL290"/>
      <c r="CN290"/>
      <c r="CP290"/>
      <c r="CR290"/>
      <c r="ED290" s="184"/>
      <c r="EF290" s="184"/>
      <c r="EH290" s="184"/>
      <c r="EJ290" s="184"/>
      <c r="EL290" s="184"/>
      <c r="EN290" s="184"/>
    </row>
    <row r="291" spans="26:144">
      <c r="Z291" s="184"/>
      <c r="AA291" s="184"/>
      <c r="AB291" s="184"/>
      <c r="AC291" s="184"/>
      <c r="AD291" s="184"/>
      <c r="AE291" s="184"/>
      <c r="AF291" s="184"/>
      <c r="AG291" s="184"/>
      <c r="AH291" s="184"/>
      <c r="AI291" s="184"/>
      <c r="AJ291" s="184"/>
      <c r="AK291" s="184"/>
      <c r="CH291"/>
      <c r="CJ291"/>
      <c r="CL291"/>
      <c r="CN291"/>
      <c r="CP291"/>
      <c r="CR291"/>
      <c r="ED291" s="184"/>
      <c r="EF291" s="184"/>
      <c r="EH291" s="184"/>
      <c r="EJ291" s="184"/>
      <c r="EL291" s="184"/>
      <c r="EN291" s="184"/>
    </row>
    <row r="292" spans="26:144">
      <c r="Z292" s="184"/>
      <c r="AA292" s="184"/>
      <c r="AB292" s="184"/>
      <c r="AC292" s="184"/>
      <c r="AD292" s="184"/>
      <c r="AE292" s="184"/>
      <c r="AF292" s="184"/>
      <c r="AG292" s="184"/>
      <c r="AH292" s="184"/>
      <c r="AI292" s="184"/>
      <c r="AJ292" s="184"/>
      <c r="AK292" s="184"/>
      <c r="CH292"/>
      <c r="CJ292"/>
      <c r="CL292"/>
      <c r="CN292"/>
      <c r="CP292"/>
      <c r="CR292"/>
      <c r="ED292" s="184"/>
      <c r="EF292" s="184"/>
      <c r="EH292" s="184"/>
      <c r="EJ292" s="184"/>
      <c r="EL292" s="184"/>
      <c r="EN292" s="184"/>
    </row>
    <row r="293" spans="26:144">
      <c r="Z293" s="184"/>
      <c r="AA293" s="184"/>
      <c r="AB293" s="184"/>
      <c r="AC293" s="184"/>
      <c r="AD293" s="184"/>
      <c r="AE293" s="184"/>
      <c r="AF293" s="184"/>
      <c r="AG293" s="184"/>
      <c r="AH293" s="184"/>
      <c r="AI293" s="184"/>
      <c r="AJ293" s="184"/>
      <c r="AK293" s="184"/>
      <c r="CH293"/>
      <c r="CJ293"/>
      <c r="CL293"/>
      <c r="CN293"/>
      <c r="CP293"/>
      <c r="CR293"/>
      <c r="ED293" s="184"/>
      <c r="EF293" s="184"/>
      <c r="EH293" s="184"/>
      <c r="EJ293" s="184"/>
      <c r="EL293" s="184"/>
      <c r="EN293" s="184"/>
    </row>
    <row r="294" spans="26:144">
      <c r="Z294" s="184"/>
      <c r="AA294" s="184"/>
      <c r="AB294" s="184"/>
      <c r="AC294" s="184"/>
      <c r="AD294" s="184"/>
      <c r="AE294" s="184"/>
      <c r="AF294" s="184"/>
      <c r="AG294" s="184"/>
      <c r="AH294" s="184"/>
      <c r="AI294" s="184"/>
      <c r="AJ294" s="184"/>
      <c r="AK294" s="184"/>
      <c r="CH294"/>
      <c r="CJ294"/>
      <c r="CL294"/>
      <c r="CN294"/>
      <c r="CP294"/>
      <c r="CR294"/>
      <c r="ED294" s="184"/>
      <c r="EF294" s="184"/>
      <c r="EH294" s="184"/>
      <c r="EJ294" s="184"/>
      <c r="EL294" s="184"/>
      <c r="EN294" s="184"/>
    </row>
    <row r="295" spans="26:144">
      <c r="Z295" s="184"/>
      <c r="AA295" s="184"/>
      <c r="AB295" s="184"/>
      <c r="AC295" s="184"/>
      <c r="AD295" s="184"/>
      <c r="AE295" s="184"/>
      <c r="AF295" s="184"/>
      <c r="AG295" s="184"/>
      <c r="AH295" s="184"/>
      <c r="AI295" s="184"/>
      <c r="AJ295" s="184"/>
      <c r="AK295" s="184"/>
      <c r="CH295"/>
      <c r="CJ295"/>
      <c r="CL295"/>
      <c r="CN295"/>
      <c r="CP295"/>
      <c r="CR295"/>
      <c r="ED295" s="184"/>
      <c r="EF295" s="184"/>
      <c r="EH295" s="184"/>
      <c r="EJ295" s="184"/>
      <c r="EL295" s="184"/>
      <c r="EN295" s="184"/>
    </row>
    <row r="296" spans="26:144">
      <c r="Z296" s="184"/>
      <c r="AA296" s="184"/>
      <c r="AB296" s="184"/>
      <c r="AC296" s="184"/>
      <c r="AD296" s="184"/>
      <c r="AE296" s="184"/>
      <c r="AF296" s="184"/>
      <c r="AG296" s="184"/>
      <c r="AH296" s="184"/>
      <c r="AI296" s="184"/>
      <c r="AJ296" s="184"/>
      <c r="AK296" s="184"/>
      <c r="CH296"/>
      <c r="CJ296"/>
      <c r="CL296"/>
      <c r="CN296"/>
      <c r="CP296"/>
      <c r="CR296"/>
      <c r="ED296" s="184"/>
      <c r="EF296" s="184"/>
      <c r="EH296" s="184"/>
      <c r="EJ296" s="184"/>
      <c r="EL296" s="184"/>
      <c r="EN296" s="184"/>
    </row>
    <row r="297" spans="26:144">
      <c r="Z297" s="184"/>
      <c r="AA297" s="184"/>
      <c r="AB297" s="184"/>
      <c r="AC297" s="184"/>
      <c r="AD297" s="184"/>
      <c r="AE297" s="184"/>
      <c r="AF297" s="184"/>
      <c r="AG297" s="184"/>
      <c r="AH297" s="184"/>
      <c r="AI297" s="184"/>
      <c r="AJ297" s="184"/>
      <c r="AK297" s="184"/>
      <c r="CH297"/>
      <c r="CJ297"/>
      <c r="CL297"/>
      <c r="CN297"/>
      <c r="CP297"/>
      <c r="CR297"/>
      <c r="ED297" s="184"/>
      <c r="EF297" s="184"/>
      <c r="EH297" s="184"/>
      <c r="EJ297" s="184"/>
      <c r="EL297" s="184"/>
      <c r="EN297" s="184"/>
    </row>
    <row r="298" spans="26:144">
      <c r="Z298" s="184"/>
      <c r="AA298" s="184"/>
      <c r="AB298" s="184"/>
      <c r="AC298" s="184"/>
      <c r="AD298" s="184"/>
      <c r="AE298" s="184"/>
      <c r="AF298" s="184"/>
      <c r="AG298" s="184"/>
      <c r="AH298" s="184"/>
      <c r="AI298" s="184"/>
      <c r="AJ298" s="184"/>
      <c r="AK298" s="184"/>
      <c r="CH298"/>
      <c r="CJ298"/>
      <c r="CL298"/>
      <c r="CN298"/>
      <c r="CP298"/>
      <c r="CR298"/>
      <c r="ED298" s="184"/>
      <c r="EF298" s="184"/>
      <c r="EH298" s="184"/>
      <c r="EJ298" s="184"/>
      <c r="EL298" s="184"/>
      <c r="EN298" s="184"/>
    </row>
    <row r="299" spans="26:144">
      <c r="Z299" s="184"/>
      <c r="AA299" s="184"/>
      <c r="AB299" s="184"/>
      <c r="AC299" s="184"/>
      <c r="AD299" s="184"/>
      <c r="AE299" s="184"/>
      <c r="AF299" s="184"/>
      <c r="AG299" s="184"/>
      <c r="AH299" s="184"/>
      <c r="AI299" s="184"/>
      <c r="AJ299" s="184"/>
      <c r="AK299" s="184"/>
      <c r="CH299"/>
      <c r="CJ299"/>
      <c r="CL299"/>
      <c r="CN299"/>
      <c r="CP299"/>
      <c r="CR299"/>
      <c r="ED299" s="184"/>
      <c r="EF299" s="184"/>
      <c r="EH299" s="184"/>
      <c r="EJ299" s="184"/>
      <c r="EL299" s="184"/>
      <c r="EN299" s="184"/>
    </row>
    <row r="300" spans="26:144">
      <c r="Z300" s="184"/>
      <c r="AA300" s="184"/>
      <c r="AB300" s="184"/>
      <c r="AC300" s="184"/>
      <c r="AD300" s="184"/>
      <c r="AE300" s="184"/>
      <c r="AF300" s="184"/>
      <c r="AG300" s="184"/>
      <c r="AH300" s="184"/>
      <c r="AI300" s="184"/>
      <c r="AJ300" s="184"/>
      <c r="AK300" s="184"/>
      <c r="CH300"/>
      <c r="CJ300"/>
      <c r="CL300"/>
      <c r="CN300"/>
      <c r="CP300"/>
      <c r="CR300"/>
      <c r="ED300" s="184"/>
      <c r="EF300" s="184"/>
      <c r="EH300" s="184"/>
      <c r="EJ300" s="184"/>
      <c r="EL300" s="184"/>
      <c r="EN300" s="184"/>
    </row>
    <row r="301" spans="26:144">
      <c r="Z301" s="184"/>
      <c r="AA301" s="184"/>
      <c r="AB301" s="184"/>
      <c r="AC301" s="184"/>
      <c r="AD301" s="184"/>
      <c r="AE301" s="184"/>
      <c r="AF301" s="184"/>
      <c r="AG301" s="184"/>
      <c r="AH301" s="184"/>
      <c r="AI301" s="184"/>
      <c r="AJ301" s="184"/>
      <c r="AK301" s="184"/>
      <c r="CH301"/>
      <c r="CJ301"/>
      <c r="CL301"/>
      <c r="CN301"/>
      <c r="CP301"/>
      <c r="CR301"/>
      <c r="ED301" s="184"/>
      <c r="EF301" s="184"/>
      <c r="EH301" s="184"/>
      <c r="EJ301" s="184"/>
      <c r="EL301" s="184"/>
      <c r="EN301" s="184"/>
    </row>
    <row r="302" spans="26:144">
      <c r="Z302" s="184"/>
      <c r="AA302" s="184"/>
      <c r="AB302" s="184"/>
      <c r="AC302" s="184"/>
      <c r="AD302" s="184"/>
      <c r="AE302" s="184"/>
      <c r="AF302" s="184"/>
      <c r="AG302" s="184"/>
      <c r="AH302" s="184"/>
      <c r="AI302" s="184"/>
      <c r="AJ302" s="184"/>
      <c r="AK302" s="184"/>
      <c r="CH302"/>
      <c r="CJ302"/>
      <c r="CL302"/>
      <c r="CN302"/>
      <c r="CP302"/>
      <c r="CR302"/>
      <c r="ED302" s="184"/>
      <c r="EF302" s="184"/>
      <c r="EH302" s="184"/>
      <c r="EJ302" s="184"/>
      <c r="EL302" s="184"/>
      <c r="EN302" s="184"/>
    </row>
    <row r="303" spans="26:144">
      <c r="Z303" s="184"/>
      <c r="AA303" s="184"/>
      <c r="AB303" s="184"/>
      <c r="AC303" s="184"/>
      <c r="AD303" s="184"/>
      <c r="AE303" s="184"/>
      <c r="AF303" s="184"/>
      <c r="AG303" s="184"/>
      <c r="AH303" s="184"/>
      <c r="AI303" s="184"/>
      <c r="AJ303" s="184"/>
      <c r="AK303" s="184"/>
      <c r="CH303"/>
      <c r="CJ303"/>
      <c r="CL303"/>
      <c r="CN303"/>
      <c r="CP303"/>
      <c r="CR303"/>
      <c r="ED303" s="184"/>
      <c r="EF303" s="184"/>
      <c r="EH303" s="184"/>
      <c r="EJ303" s="184"/>
      <c r="EL303" s="184"/>
      <c r="EN303" s="184"/>
    </row>
    <row r="304" spans="26:144">
      <c r="Z304" s="184"/>
      <c r="AA304" s="184"/>
      <c r="AB304" s="184"/>
      <c r="AC304" s="184"/>
      <c r="AD304" s="184"/>
      <c r="AE304" s="184"/>
      <c r="AF304" s="184"/>
      <c r="AG304" s="184"/>
      <c r="AH304" s="184"/>
      <c r="AI304" s="184"/>
      <c r="AJ304" s="184"/>
      <c r="AK304" s="184"/>
      <c r="CH304"/>
      <c r="CJ304"/>
      <c r="CL304"/>
      <c r="CN304"/>
      <c r="CP304"/>
      <c r="CR304"/>
      <c r="ED304" s="184"/>
      <c r="EF304" s="184"/>
      <c r="EH304" s="184"/>
      <c r="EJ304" s="184"/>
      <c r="EL304" s="184"/>
      <c r="EN304" s="184"/>
    </row>
    <row r="305" spans="26:144">
      <c r="Z305" s="184"/>
      <c r="AA305" s="184"/>
      <c r="AB305" s="184"/>
      <c r="AC305" s="184"/>
      <c r="AD305" s="184"/>
      <c r="AE305" s="184"/>
      <c r="AF305" s="184"/>
      <c r="AG305" s="184"/>
      <c r="AH305" s="184"/>
      <c r="AI305" s="184"/>
      <c r="AJ305" s="184"/>
      <c r="AK305" s="184"/>
      <c r="CH305"/>
      <c r="CJ305"/>
      <c r="CL305"/>
      <c r="CN305"/>
      <c r="CP305"/>
      <c r="CR305"/>
      <c r="ED305" s="184"/>
      <c r="EF305" s="184"/>
      <c r="EH305" s="184"/>
      <c r="EJ305" s="184"/>
      <c r="EL305" s="184"/>
      <c r="EN305" s="184"/>
    </row>
    <row r="306" spans="26:144">
      <c r="Z306" s="184"/>
      <c r="AA306" s="184"/>
      <c r="AB306" s="184"/>
      <c r="AC306" s="184"/>
      <c r="AD306" s="184"/>
      <c r="AE306" s="184"/>
      <c r="AF306" s="184"/>
      <c r="AG306" s="184"/>
      <c r="AH306" s="184"/>
      <c r="AI306" s="184"/>
      <c r="AJ306" s="184"/>
      <c r="AK306" s="184"/>
      <c r="CH306"/>
      <c r="CJ306"/>
      <c r="CL306"/>
      <c r="CN306"/>
      <c r="CP306"/>
      <c r="CR306"/>
      <c r="ED306" s="184"/>
      <c r="EF306" s="184"/>
      <c r="EH306" s="184"/>
      <c r="EJ306" s="184"/>
      <c r="EL306" s="184"/>
      <c r="EN306" s="184"/>
    </row>
    <row r="307" spans="26:144">
      <c r="Z307" s="184"/>
      <c r="AA307" s="184"/>
      <c r="AB307" s="184"/>
      <c r="AC307" s="184"/>
      <c r="AD307" s="184"/>
      <c r="AE307" s="184"/>
      <c r="AF307" s="184"/>
      <c r="AG307" s="184"/>
      <c r="AH307" s="184"/>
      <c r="AI307" s="184"/>
      <c r="AJ307" s="184"/>
      <c r="AK307" s="184"/>
      <c r="CH307"/>
      <c r="CJ307"/>
      <c r="CL307"/>
      <c r="CN307"/>
      <c r="CP307"/>
      <c r="CR307"/>
      <c r="ED307" s="184"/>
      <c r="EF307" s="184"/>
      <c r="EH307" s="184"/>
      <c r="EJ307" s="184"/>
      <c r="EL307" s="184"/>
      <c r="EN307" s="184"/>
    </row>
    <row r="308" spans="26:144">
      <c r="Z308" s="184"/>
      <c r="AA308" s="184"/>
      <c r="AB308" s="184"/>
      <c r="AC308" s="184"/>
      <c r="AD308" s="184"/>
      <c r="AE308" s="184"/>
      <c r="AF308" s="184"/>
      <c r="AG308" s="184"/>
      <c r="AH308" s="184"/>
      <c r="AI308" s="184"/>
      <c r="AJ308" s="184"/>
      <c r="AK308" s="184"/>
      <c r="CH308"/>
      <c r="CJ308"/>
      <c r="CL308"/>
      <c r="CN308"/>
      <c r="CP308"/>
      <c r="CR308"/>
      <c r="ED308" s="184"/>
      <c r="EF308" s="184"/>
      <c r="EH308" s="184"/>
      <c r="EJ308" s="184"/>
      <c r="EL308" s="184"/>
      <c r="EN308" s="184"/>
    </row>
    <row r="309" spans="26:144">
      <c r="Z309" s="184"/>
      <c r="AA309" s="184"/>
      <c r="AB309" s="184"/>
      <c r="AC309" s="184"/>
      <c r="AD309" s="184"/>
      <c r="AE309" s="184"/>
      <c r="AF309" s="184"/>
      <c r="AG309" s="184"/>
      <c r="AH309" s="184"/>
      <c r="AI309" s="184"/>
      <c r="AJ309" s="184"/>
      <c r="AK309" s="184"/>
      <c r="CH309"/>
      <c r="CJ309"/>
      <c r="CL309"/>
      <c r="CN309"/>
      <c r="CP309"/>
      <c r="CR309"/>
      <c r="ED309" s="184"/>
      <c r="EF309" s="184"/>
      <c r="EH309" s="184"/>
      <c r="EJ309" s="184"/>
      <c r="EL309" s="184"/>
      <c r="EN309" s="184"/>
    </row>
    <row r="310" spans="26:144">
      <c r="Z310" s="184"/>
      <c r="AA310" s="184"/>
      <c r="AB310" s="184"/>
      <c r="AC310" s="184"/>
      <c r="AD310" s="184"/>
      <c r="AE310" s="184"/>
      <c r="AF310" s="184"/>
      <c r="AG310" s="184"/>
      <c r="AH310" s="184"/>
      <c r="AI310" s="184"/>
      <c r="AJ310" s="184"/>
      <c r="AK310" s="184"/>
      <c r="CH310"/>
      <c r="CJ310"/>
      <c r="CL310"/>
      <c r="CN310"/>
      <c r="CP310"/>
      <c r="CR310"/>
      <c r="ED310" s="184"/>
      <c r="EF310" s="184"/>
      <c r="EH310" s="184"/>
      <c r="EJ310" s="184"/>
      <c r="EL310" s="184"/>
      <c r="EN310" s="184"/>
    </row>
    <row r="311" spans="26:144">
      <c r="Z311" s="184"/>
      <c r="AA311" s="184"/>
      <c r="AB311" s="184"/>
      <c r="AC311" s="184"/>
      <c r="AD311" s="184"/>
      <c r="AE311" s="184"/>
      <c r="AF311" s="184"/>
      <c r="AG311" s="184"/>
      <c r="AH311" s="184"/>
      <c r="AI311" s="184"/>
      <c r="AJ311" s="184"/>
      <c r="AK311" s="184"/>
      <c r="CH311"/>
      <c r="CJ311"/>
      <c r="CL311"/>
      <c r="CN311"/>
      <c r="CP311"/>
      <c r="CR311"/>
      <c r="ED311" s="184"/>
      <c r="EF311" s="184"/>
      <c r="EH311" s="184"/>
      <c r="EJ311" s="184"/>
      <c r="EL311" s="184"/>
      <c r="EN311" s="184"/>
    </row>
    <row r="312" spans="26:144">
      <c r="Z312" s="184"/>
      <c r="AA312" s="184"/>
      <c r="AB312" s="184"/>
      <c r="AC312" s="184"/>
      <c r="AD312" s="184"/>
      <c r="AE312" s="184"/>
      <c r="AF312" s="184"/>
      <c r="AG312" s="184"/>
      <c r="AH312" s="184"/>
      <c r="AI312" s="184"/>
      <c r="AJ312" s="184"/>
      <c r="AK312" s="184"/>
      <c r="CH312"/>
      <c r="CJ312"/>
      <c r="CL312"/>
      <c r="CN312"/>
      <c r="CP312"/>
      <c r="CR312"/>
      <c r="ED312" s="184"/>
      <c r="EF312" s="184"/>
      <c r="EH312" s="184"/>
      <c r="EJ312" s="184"/>
      <c r="EL312" s="184"/>
      <c r="EN312" s="184"/>
    </row>
    <row r="313" spans="26:144">
      <c r="Z313" s="184"/>
      <c r="AA313" s="184"/>
      <c r="AB313" s="184"/>
      <c r="AC313" s="184"/>
      <c r="AD313" s="184"/>
      <c r="AE313" s="184"/>
      <c r="AF313" s="184"/>
      <c r="AG313" s="184"/>
      <c r="AH313" s="184"/>
      <c r="AI313" s="184"/>
      <c r="AJ313" s="184"/>
      <c r="AK313" s="184"/>
      <c r="CH313"/>
      <c r="CJ313"/>
      <c r="CL313"/>
      <c r="CN313"/>
      <c r="CP313"/>
      <c r="CR313"/>
      <c r="ED313" s="184"/>
      <c r="EF313" s="184"/>
      <c r="EH313" s="184"/>
      <c r="EJ313" s="184"/>
      <c r="EL313" s="184"/>
      <c r="EN313" s="184"/>
    </row>
    <row r="314" spans="26:144">
      <c r="Z314" s="184"/>
      <c r="AA314" s="184"/>
      <c r="AB314" s="184"/>
      <c r="AC314" s="184"/>
      <c r="AD314" s="184"/>
      <c r="AE314" s="184"/>
      <c r="AF314" s="184"/>
      <c r="AG314" s="184"/>
      <c r="AH314" s="184"/>
      <c r="AI314" s="184"/>
      <c r="AJ314" s="184"/>
      <c r="AK314" s="184"/>
      <c r="CH314"/>
      <c r="CJ314"/>
      <c r="CL314"/>
      <c r="CN314"/>
      <c r="CP314"/>
      <c r="CR314"/>
      <c r="ED314" s="184"/>
      <c r="EF314" s="184"/>
      <c r="EH314" s="184"/>
      <c r="EJ314" s="184"/>
      <c r="EL314" s="184"/>
      <c r="EN314" s="184"/>
    </row>
    <row r="315" spans="26:144">
      <c r="Z315" s="184"/>
      <c r="AA315" s="184"/>
      <c r="AB315" s="184"/>
      <c r="AC315" s="184"/>
      <c r="AD315" s="184"/>
      <c r="AE315" s="184"/>
      <c r="AF315" s="184"/>
      <c r="AG315" s="184"/>
      <c r="AH315" s="184"/>
      <c r="AI315" s="184"/>
      <c r="AJ315" s="184"/>
      <c r="AK315" s="184"/>
      <c r="CH315"/>
      <c r="CJ315"/>
      <c r="CL315"/>
      <c r="CN315"/>
      <c r="CP315"/>
      <c r="CR315"/>
      <c r="ED315" s="184"/>
      <c r="EF315" s="184"/>
      <c r="EH315" s="184"/>
      <c r="EJ315" s="184"/>
      <c r="EL315" s="184"/>
      <c r="EN315" s="184"/>
    </row>
    <row r="316" spans="26:144">
      <c r="Z316" s="184"/>
      <c r="AA316" s="184"/>
      <c r="AB316" s="184"/>
      <c r="AC316" s="184"/>
      <c r="AD316" s="184"/>
      <c r="AE316" s="184"/>
      <c r="AF316" s="184"/>
      <c r="AG316" s="184"/>
      <c r="AH316" s="184"/>
      <c r="AI316" s="184"/>
      <c r="AJ316" s="184"/>
      <c r="AK316" s="184"/>
      <c r="CH316"/>
      <c r="CJ316"/>
      <c r="CL316"/>
      <c r="CN316"/>
      <c r="CP316"/>
      <c r="CR316"/>
      <c r="ED316" s="184"/>
      <c r="EF316" s="184"/>
      <c r="EH316" s="184"/>
      <c r="EJ316" s="184"/>
      <c r="EL316" s="184"/>
      <c r="EN316" s="184"/>
    </row>
    <row r="317" spans="26:144">
      <c r="Z317" s="184"/>
      <c r="AA317" s="184"/>
      <c r="AB317" s="184"/>
      <c r="AC317" s="184"/>
      <c r="AD317" s="184"/>
      <c r="AE317" s="184"/>
      <c r="AF317" s="184"/>
      <c r="AG317" s="184"/>
      <c r="AH317" s="184"/>
      <c r="AI317" s="184"/>
      <c r="AJ317" s="184"/>
      <c r="AK317" s="184"/>
      <c r="CH317"/>
      <c r="CJ317"/>
      <c r="CL317"/>
      <c r="CN317"/>
      <c r="CP317"/>
      <c r="CR317"/>
      <c r="ED317" s="184"/>
      <c r="EF317" s="184"/>
      <c r="EH317" s="184"/>
      <c r="EJ317" s="184"/>
      <c r="EL317" s="184"/>
      <c r="EN317" s="184"/>
    </row>
    <row r="318" spans="26:144">
      <c r="Z318" s="184"/>
      <c r="AA318" s="184"/>
      <c r="AB318" s="184"/>
      <c r="AC318" s="184"/>
      <c r="AD318" s="184"/>
      <c r="AE318" s="184"/>
      <c r="AF318" s="184"/>
      <c r="AG318" s="184"/>
      <c r="AH318" s="184"/>
      <c r="AI318" s="184"/>
      <c r="AJ318" s="184"/>
      <c r="AK318" s="184"/>
      <c r="CH318"/>
      <c r="CJ318"/>
      <c r="CL318"/>
      <c r="CN318"/>
      <c r="CP318"/>
      <c r="CR318"/>
      <c r="ED318" s="184"/>
      <c r="EF318" s="184"/>
      <c r="EH318" s="184"/>
      <c r="EJ318" s="184"/>
      <c r="EL318" s="184"/>
      <c r="EN318" s="184"/>
    </row>
    <row r="319" spans="26:144">
      <c r="Z319" s="184"/>
      <c r="AA319" s="184"/>
      <c r="AB319" s="184"/>
      <c r="AC319" s="184"/>
      <c r="AD319" s="184"/>
      <c r="AE319" s="184"/>
      <c r="AF319" s="184"/>
      <c r="AG319" s="184"/>
      <c r="AH319" s="184"/>
      <c r="AI319" s="184"/>
      <c r="AJ319" s="184"/>
      <c r="AK319" s="184"/>
      <c r="CH319"/>
      <c r="CJ319"/>
      <c r="CL319"/>
      <c r="CN319"/>
      <c r="CP319"/>
      <c r="CR319"/>
      <c r="ED319" s="184"/>
      <c r="EF319" s="184"/>
      <c r="EH319" s="184"/>
      <c r="EJ319" s="184"/>
      <c r="EL319" s="184"/>
      <c r="EN319" s="184"/>
    </row>
    <row r="320" spans="26:144">
      <c r="Z320" s="184"/>
      <c r="AA320" s="184"/>
      <c r="AB320" s="184"/>
      <c r="AC320" s="184"/>
      <c r="AD320" s="184"/>
      <c r="AE320" s="184"/>
      <c r="AF320" s="184"/>
      <c r="AG320" s="184"/>
      <c r="AH320" s="184"/>
      <c r="AI320" s="184"/>
      <c r="AJ320" s="184"/>
      <c r="AK320" s="184"/>
      <c r="CH320"/>
      <c r="CJ320"/>
      <c r="CL320"/>
      <c r="CN320"/>
      <c r="CP320"/>
      <c r="CR320"/>
      <c r="ED320" s="184"/>
      <c r="EF320" s="184"/>
      <c r="EH320" s="184"/>
      <c r="EJ320" s="184"/>
      <c r="EL320" s="184"/>
      <c r="EN320" s="184"/>
    </row>
    <row r="321" spans="26:144">
      <c r="Z321" s="184"/>
      <c r="AA321" s="184"/>
      <c r="AB321" s="184"/>
      <c r="AC321" s="184"/>
      <c r="AD321" s="184"/>
      <c r="AE321" s="184"/>
      <c r="AF321" s="184"/>
      <c r="AG321" s="184"/>
      <c r="AH321" s="184"/>
      <c r="AI321" s="184"/>
      <c r="AJ321" s="184"/>
      <c r="AK321" s="184"/>
      <c r="CH321"/>
      <c r="CJ321"/>
      <c r="CL321"/>
      <c r="CN321"/>
      <c r="CP321"/>
      <c r="CR321"/>
      <c r="ED321" s="184"/>
      <c r="EF321" s="184"/>
      <c r="EH321" s="184"/>
      <c r="EJ321" s="184"/>
      <c r="EL321" s="184"/>
      <c r="EN321" s="184"/>
    </row>
    <row r="322" spans="26:144">
      <c r="Z322" s="184"/>
      <c r="AA322" s="184"/>
      <c r="AB322" s="184"/>
      <c r="AC322" s="184"/>
      <c r="AD322" s="184"/>
      <c r="AE322" s="184"/>
      <c r="AF322" s="184"/>
      <c r="AG322" s="184"/>
      <c r="AH322" s="184"/>
      <c r="AI322" s="184"/>
      <c r="AJ322" s="184"/>
      <c r="AK322" s="184"/>
      <c r="CH322"/>
      <c r="CJ322"/>
      <c r="CL322"/>
      <c r="CN322"/>
      <c r="CP322"/>
      <c r="CR322"/>
      <c r="ED322" s="184"/>
      <c r="EF322" s="184"/>
      <c r="EH322" s="184"/>
      <c r="EJ322" s="184"/>
      <c r="EL322" s="184"/>
      <c r="EN322" s="184"/>
    </row>
    <row r="323" spans="26:144">
      <c r="Z323" s="184"/>
      <c r="AA323" s="184"/>
      <c r="AB323" s="184"/>
      <c r="AC323" s="184"/>
      <c r="AD323" s="184"/>
      <c r="AE323" s="184"/>
      <c r="AF323" s="184"/>
      <c r="AG323" s="184"/>
      <c r="AH323" s="184"/>
      <c r="AI323" s="184"/>
      <c r="AJ323" s="184"/>
      <c r="AK323" s="184"/>
      <c r="CH323"/>
      <c r="CJ323"/>
      <c r="CL323"/>
      <c r="CN323"/>
      <c r="CP323"/>
      <c r="CR323"/>
      <c r="ED323" s="184"/>
      <c r="EF323" s="184"/>
      <c r="EH323" s="184"/>
      <c r="EJ323" s="184"/>
      <c r="EL323" s="184"/>
      <c r="EN323" s="184"/>
    </row>
    <row r="324" spans="26:144">
      <c r="Z324" s="184"/>
      <c r="AA324" s="184"/>
      <c r="AB324" s="184"/>
      <c r="AC324" s="184"/>
      <c r="AD324" s="184"/>
      <c r="AE324" s="184"/>
      <c r="AF324" s="184"/>
      <c r="AG324" s="184"/>
      <c r="AH324" s="184"/>
      <c r="AI324" s="184"/>
      <c r="AJ324" s="184"/>
      <c r="AK324" s="184"/>
      <c r="CH324"/>
      <c r="CJ324"/>
      <c r="CL324"/>
      <c r="CN324"/>
      <c r="CP324"/>
      <c r="CR324"/>
      <c r="ED324" s="184"/>
      <c r="EF324" s="184"/>
      <c r="EH324" s="184"/>
      <c r="EJ324" s="184"/>
      <c r="EL324" s="184"/>
      <c r="EN324" s="184"/>
    </row>
    <row r="325" spans="26:144">
      <c r="Z325" s="184"/>
      <c r="AA325" s="184"/>
      <c r="AB325" s="184"/>
      <c r="AC325" s="184"/>
      <c r="AD325" s="184"/>
      <c r="AE325" s="184"/>
      <c r="AF325" s="184"/>
      <c r="AG325" s="184"/>
      <c r="AH325" s="184"/>
      <c r="AI325" s="184"/>
      <c r="AJ325" s="184"/>
      <c r="AK325" s="184"/>
      <c r="CH325"/>
      <c r="CJ325"/>
      <c r="CL325"/>
      <c r="CN325"/>
      <c r="CP325"/>
      <c r="CR325"/>
      <c r="ED325" s="184"/>
      <c r="EF325" s="184"/>
      <c r="EH325" s="184"/>
      <c r="EJ325" s="184"/>
      <c r="EL325" s="184"/>
      <c r="EN325" s="184"/>
    </row>
    <row r="326" spans="26:144">
      <c r="Z326" s="184"/>
      <c r="AA326" s="184"/>
      <c r="AB326" s="184"/>
      <c r="AC326" s="184"/>
      <c r="AD326" s="184"/>
      <c r="AE326" s="184"/>
      <c r="AF326" s="184"/>
      <c r="AG326" s="184"/>
      <c r="AH326" s="184"/>
      <c r="AI326" s="184"/>
      <c r="AJ326" s="184"/>
      <c r="AK326" s="184"/>
      <c r="CH326"/>
      <c r="CJ326"/>
      <c r="CL326"/>
      <c r="CN326"/>
      <c r="CP326"/>
      <c r="CR326"/>
      <c r="ED326" s="184"/>
      <c r="EF326" s="184"/>
      <c r="EH326" s="184"/>
      <c r="EJ326" s="184"/>
      <c r="EL326" s="184"/>
      <c r="EN326" s="184"/>
    </row>
    <row r="327" spans="26:144">
      <c r="Z327" s="184"/>
      <c r="AA327" s="184"/>
      <c r="AB327" s="184"/>
      <c r="AC327" s="184"/>
      <c r="AD327" s="184"/>
      <c r="AE327" s="184"/>
      <c r="AF327" s="184"/>
      <c r="AG327" s="184"/>
      <c r="AH327" s="184"/>
      <c r="AI327" s="184"/>
      <c r="AJ327" s="184"/>
      <c r="AK327" s="184"/>
      <c r="CH327"/>
      <c r="CJ327"/>
      <c r="CL327"/>
      <c r="CN327"/>
      <c r="CP327"/>
      <c r="CR327"/>
      <c r="ED327" s="184"/>
      <c r="EF327" s="184"/>
      <c r="EH327" s="184"/>
      <c r="EJ327" s="184"/>
      <c r="EL327" s="184"/>
      <c r="EN327" s="184"/>
    </row>
    <row r="328" spans="26:144">
      <c r="Z328" s="184"/>
      <c r="AA328" s="184"/>
      <c r="AB328" s="184"/>
      <c r="AC328" s="184"/>
      <c r="AD328" s="184"/>
      <c r="AE328" s="184"/>
      <c r="AF328" s="184"/>
      <c r="AG328" s="184"/>
      <c r="AH328" s="184"/>
      <c r="AI328" s="184"/>
      <c r="AJ328" s="184"/>
      <c r="AK328" s="184"/>
      <c r="CH328"/>
      <c r="CJ328"/>
      <c r="CL328"/>
      <c r="CN328"/>
      <c r="CP328"/>
      <c r="CR328"/>
      <c r="ED328" s="184"/>
      <c r="EF328" s="184"/>
      <c r="EH328" s="184"/>
      <c r="EJ328" s="184"/>
      <c r="EL328" s="184"/>
      <c r="EN328" s="184"/>
    </row>
  </sheetData>
  <mergeCells count="4">
    <mergeCell ref="B1:C1"/>
    <mergeCell ref="D1:E1"/>
    <mergeCell ref="A50:B50"/>
    <mergeCell ref="E49:H4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15"/>
  <sheetViews>
    <sheetView topLeftCell="A82" zoomScaleNormal="100" workbookViewId="0">
      <selection activeCell="L85" sqref="L85"/>
    </sheetView>
  </sheetViews>
  <sheetFormatPr defaultRowHeight="14.5"/>
  <cols>
    <col min="4" max="9" width="9.1796875" customWidth="1"/>
    <col min="17" max="17" width="12" bestFit="1" customWidth="1"/>
    <col min="24" max="24" width="12.7265625" bestFit="1" customWidth="1"/>
    <col min="25" max="25" width="13.54296875" bestFit="1" customWidth="1"/>
  </cols>
  <sheetData>
    <row r="1" spans="1:12">
      <c r="A1" s="358" t="s">
        <v>396</v>
      </c>
      <c r="B1" s="358"/>
      <c r="C1" s="359"/>
      <c r="D1" s="359"/>
      <c r="E1" s="359"/>
      <c r="F1" s="359"/>
      <c r="G1" s="359"/>
      <c r="H1" s="359"/>
      <c r="I1" s="359"/>
      <c r="J1" s="359"/>
      <c r="K1" s="360"/>
      <c r="L1" s="361"/>
    </row>
    <row r="2" spans="1:12">
      <c r="A2" s="358" t="s">
        <v>397</v>
      </c>
      <c r="B2" s="358"/>
      <c r="C2" s="359"/>
      <c r="D2" s="359" t="s">
        <v>398</v>
      </c>
      <c r="E2" s="359"/>
      <c r="F2" s="359"/>
      <c r="G2" s="359"/>
      <c r="H2" s="359"/>
      <c r="I2" s="359"/>
      <c r="J2" s="359"/>
      <c r="K2" s="360"/>
      <c r="L2" s="360"/>
    </row>
    <row r="3" spans="1:12">
      <c r="A3" s="358"/>
      <c r="B3" s="358"/>
      <c r="C3" s="359"/>
      <c r="D3" s="359"/>
      <c r="E3" s="359"/>
      <c r="F3" s="359"/>
      <c r="G3" s="359"/>
      <c r="H3" s="359"/>
      <c r="I3" s="359"/>
      <c r="J3" s="359"/>
      <c r="K3" s="360"/>
      <c r="L3" s="360"/>
    </row>
    <row r="4" spans="1:12">
      <c r="A4" s="358"/>
      <c r="B4" s="358"/>
      <c r="C4" s="359"/>
      <c r="D4" s="362" t="s">
        <v>399</v>
      </c>
      <c r="E4" s="362"/>
      <c r="F4" s="359"/>
      <c r="G4" s="359"/>
      <c r="H4" s="359"/>
      <c r="I4" s="359"/>
      <c r="J4" s="359"/>
      <c r="K4" s="359"/>
      <c r="L4" s="359"/>
    </row>
    <row r="5" spans="1:12">
      <c r="A5" s="358"/>
      <c r="B5" s="358"/>
      <c r="C5" s="359"/>
      <c r="D5" s="363" t="s">
        <v>400</v>
      </c>
      <c r="E5" s="364">
        <v>36000</v>
      </c>
      <c r="F5" s="359"/>
      <c r="G5" s="359"/>
      <c r="H5" s="359"/>
      <c r="I5" s="359"/>
      <c r="J5" s="359"/>
      <c r="K5" s="359"/>
      <c r="L5" s="359"/>
    </row>
    <row r="6" spans="1:12">
      <c r="A6" s="358"/>
      <c r="B6" s="358"/>
      <c r="C6" s="359"/>
      <c r="D6" s="365" t="s">
        <v>401</v>
      </c>
      <c r="E6" s="366">
        <v>2570</v>
      </c>
      <c r="F6" s="359"/>
      <c r="G6" s="359"/>
      <c r="H6" s="359"/>
      <c r="I6" s="359"/>
      <c r="J6" s="359"/>
      <c r="K6" s="359"/>
      <c r="L6" s="359"/>
    </row>
    <row r="7" spans="1:12">
      <c r="A7" s="358" t="s">
        <v>402</v>
      </c>
      <c r="B7" s="358"/>
      <c r="C7" s="359"/>
      <c r="D7" s="359"/>
      <c r="E7" s="359"/>
      <c r="F7" s="359"/>
      <c r="G7" s="359"/>
      <c r="H7" s="359"/>
      <c r="I7" s="359"/>
      <c r="J7" s="359"/>
      <c r="K7" s="359"/>
      <c r="L7" s="359"/>
    </row>
    <row r="8" spans="1:12" ht="15" customHeight="1">
      <c r="A8" s="367" t="s">
        <v>403</v>
      </c>
      <c r="B8" s="368"/>
      <c r="C8" s="369"/>
      <c r="D8" s="484" t="s">
        <v>404</v>
      </c>
      <c r="E8" s="485"/>
      <c r="F8" s="485"/>
      <c r="G8" s="485"/>
      <c r="H8" s="485"/>
      <c r="I8" s="486"/>
      <c r="J8" s="487" t="s">
        <v>405</v>
      </c>
      <c r="K8" s="488"/>
      <c r="L8" s="488"/>
    </row>
    <row r="9" spans="1:12">
      <c r="A9" s="370" t="s">
        <v>406</v>
      </c>
      <c r="B9" s="371" t="s">
        <v>406</v>
      </c>
      <c r="C9" s="372"/>
      <c r="D9" s="373" t="s">
        <v>407</v>
      </c>
      <c r="E9" s="372" t="s">
        <v>408</v>
      </c>
      <c r="F9" s="374">
        <v>0.75</v>
      </c>
      <c r="G9" s="374">
        <v>0.5</v>
      </c>
      <c r="H9" s="374">
        <v>0.25</v>
      </c>
      <c r="I9" s="375" t="s">
        <v>409</v>
      </c>
      <c r="J9" s="372" t="s">
        <v>407</v>
      </c>
      <c r="K9" s="372" t="s">
        <v>408</v>
      </c>
      <c r="L9" s="374">
        <v>0.75</v>
      </c>
    </row>
    <row r="10" spans="1:12">
      <c r="A10" s="376" t="s">
        <v>410</v>
      </c>
      <c r="B10" s="377" t="s">
        <v>411</v>
      </c>
      <c r="C10" s="378"/>
      <c r="D10" s="379"/>
      <c r="E10" s="360"/>
      <c r="F10" s="360"/>
      <c r="G10" s="360"/>
      <c r="H10" s="360"/>
      <c r="I10" s="380"/>
      <c r="J10" s="381"/>
      <c r="K10" s="381"/>
      <c r="L10" s="381"/>
    </row>
    <row r="11" spans="1:12">
      <c r="A11" s="382">
        <v>115</v>
      </c>
      <c r="B11" s="383">
        <v>46.1</v>
      </c>
      <c r="C11" s="384" t="s">
        <v>412</v>
      </c>
      <c r="D11" s="385">
        <v>24494.400000000001</v>
      </c>
      <c r="E11" s="369">
        <v>24494.400000000001</v>
      </c>
      <c r="F11" s="369">
        <v>18370.800000000003</v>
      </c>
      <c r="G11" s="369">
        <v>12247.2</v>
      </c>
      <c r="H11" s="369">
        <v>6123.6</v>
      </c>
      <c r="I11" s="386">
        <v>8288.8108380000012</v>
      </c>
      <c r="J11" s="387">
        <v>22680</v>
      </c>
      <c r="K11" s="388">
        <v>22680</v>
      </c>
      <c r="L11" s="389">
        <v>17010</v>
      </c>
    </row>
    <row r="12" spans="1:12">
      <c r="A12" s="370"/>
      <c r="B12" s="371"/>
      <c r="C12" s="384" t="s">
        <v>413</v>
      </c>
      <c r="D12" s="390">
        <v>1233.5999999999999</v>
      </c>
      <c r="E12" s="360">
        <v>1233.5999999999999</v>
      </c>
      <c r="F12" s="360">
        <v>1085.568</v>
      </c>
      <c r="G12" s="360">
        <v>851.18399999999986</v>
      </c>
      <c r="H12" s="360">
        <v>592.12799999999993</v>
      </c>
      <c r="I12" s="391">
        <v>652.43725543647508</v>
      </c>
      <c r="J12" s="392">
        <v>1285</v>
      </c>
      <c r="K12" s="393">
        <v>1285</v>
      </c>
      <c r="L12" s="394">
        <v>1130.8</v>
      </c>
    </row>
    <row r="13" spans="1:12">
      <c r="A13" s="370">
        <v>110</v>
      </c>
      <c r="B13" s="395">
        <v>43.333333333333336</v>
      </c>
      <c r="C13" s="384" t="s">
        <v>412</v>
      </c>
      <c r="D13" s="390">
        <v>29160.000000000004</v>
      </c>
      <c r="E13" s="360">
        <v>29160.000000000004</v>
      </c>
      <c r="F13" s="360">
        <v>21870</v>
      </c>
      <c r="G13" s="360">
        <v>14580.000000000002</v>
      </c>
      <c r="H13" s="360">
        <v>7290.0000000000009</v>
      </c>
      <c r="I13" s="391">
        <v>8593.5923834839596</v>
      </c>
      <c r="J13" s="392">
        <v>27000</v>
      </c>
      <c r="K13" s="393">
        <v>27000</v>
      </c>
      <c r="L13" s="394">
        <v>20250</v>
      </c>
    </row>
    <row r="14" spans="1:12">
      <c r="A14" s="370"/>
      <c r="B14" s="395"/>
      <c r="C14" s="384" t="s">
        <v>413</v>
      </c>
      <c r="D14" s="390">
        <v>1644.8</v>
      </c>
      <c r="E14" s="360">
        <v>1644.8</v>
      </c>
      <c r="F14" s="360">
        <v>1447.424</v>
      </c>
      <c r="G14" s="360">
        <v>1134.9119999999998</v>
      </c>
      <c r="H14" s="360">
        <v>789.50399999999991</v>
      </c>
      <c r="I14" s="391">
        <v>610.95985749741089</v>
      </c>
      <c r="J14" s="392">
        <v>1747.6000000000001</v>
      </c>
      <c r="K14" s="393">
        <v>1747.6000000000001</v>
      </c>
      <c r="L14" s="394">
        <v>1537.8880000000001</v>
      </c>
    </row>
    <row r="15" spans="1:12">
      <c r="A15" s="370">
        <v>106</v>
      </c>
      <c r="B15" s="395">
        <v>41.111111111111114</v>
      </c>
      <c r="C15" s="384" t="s">
        <v>400</v>
      </c>
      <c r="D15" s="390">
        <v>33048</v>
      </c>
      <c r="E15" s="360">
        <v>33048</v>
      </c>
      <c r="F15" s="360">
        <v>24786</v>
      </c>
      <c r="G15" s="360">
        <v>16524</v>
      </c>
      <c r="H15" s="360">
        <v>8262</v>
      </c>
      <c r="I15" s="391">
        <v>8836.8587619478421</v>
      </c>
      <c r="J15" s="392">
        <v>30600</v>
      </c>
      <c r="K15" s="393">
        <v>30600</v>
      </c>
      <c r="L15" s="394">
        <v>22950</v>
      </c>
    </row>
    <row r="16" spans="1:12">
      <c r="A16" s="370"/>
      <c r="B16" s="395"/>
      <c r="C16" s="384" t="s">
        <v>401</v>
      </c>
      <c r="D16" s="390">
        <v>1901.8</v>
      </c>
      <c r="E16" s="360">
        <v>1901.8</v>
      </c>
      <c r="F16" s="360">
        <v>1673.5840000000001</v>
      </c>
      <c r="G16" s="360">
        <v>1312.242</v>
      </c>
      <c r="H16" s="360">
        <v>912.86399999999992</v>
      </c>
      <c r="I16" s="391">
        <v>570.78594590167484</v>
      </c>
      <c r="J16" s="392">
        <v>2081.7000000000003</v>
      </c>
      <c r="K16" s="393">
        <v>2081.7000000000003</v>
      </c>
      <c r="L16" s="394">
        <v>1831.8960000000002</v>
      </c>
    </row>
    <row r="17" spans="1:12">
      <c r="A17" s="370">
        <v>102</v>
      </c>
      <c r="B17" s="395">
        <v>38.888888888888886</v>
      </c>
      <c r="C17" s="384" t="s">
        <v>400</v>
      </c>
      <c r="D17" s="390">
        <v>36158.400000000001</v>
      </c>
      <c r="E17" s="360">
        <v>36158.400000000001</v>
      </c>
      <c r="F17" s="360">
        <v>27118.800000000003</v>
      </c>
      <c r="G17" s="360">
        <v>18079.2</v>
      </c>
      <c r="H17" s="360">
        <v>9039.6</v>
      </c>
      <c r="I17" s="391">
        <v>9081.4490520750733</v>
      </c>
      <c r="J17" s="392">
        <v>33480</v>
      </c>
      <c r="K17" s="393">
        <v>33480</v>
      </c>
      <c r="L17" s="394">
        <v>25110</v>
      </c>
    </row>
    <row r="18" spans="1:12">
      <c r="A18" s="370"/>
      <c r="B18" s="395"/>
      <c r="C18" s="384" t="s">
        <v>401</v>
      </c>
      <c r="D18" s="390">
        <v>2210.1999999999998</v>
      </c>
      <c r="E18" s="360">
        <v>2210.1999999999998</v>
      </c>
      <c r="F18" s="360">
        <v>1944.9759999999999</v>
      </c>
      <c r="G18" s="360">
        <v>1525.0379999999998</v>
      </c>
      <c r="H18" s="360">
        <v>1060.896</v>
      </c>
      <c r="I18" s="391">
        <v>561.10251667924604</v>
      </c>
      <c r="J18" s="392">
        <v>2364.4</v>
      </c>
      <c r="K18" s="393">
        <v>2364.4</v>
      </c>
      <c r="L18" s="394">
        <v>2080.672</v>
      </c>
    </row>
    <row r="19" spans="1:12">
      <c r="A19" s="370">
        <v>98</v>
      </c>
      <c r="B19" s="395">
        <v>36.666666666666664</v>
      </c>
      <c r="C19" s="384" t="s">
        <v>400</v>
      </c>
      <c r="D19" s="390">
        <v>38491.200000000004</v>
      </c>
      <c r="E19" s="360">
        <v>38491.200000000004</v>
      </c>
      <c r="F19" s="360">
        <v>28868.400000000001</v>
      </c>
      <c r="G19" s="360">
        <v>19245.600000000002</v>
      </c>
      <c r="H19" s="360">
        <v>9622.8000000000011</v>
      </c>
      <c r="I19" s="391">
        <v>9321.397282891845</v>
      </c>
      <c r="J19" s="392">
        <v>35640</v>
      </c>
      <c r="K19" s="393">
        <v>35640</v>
      </c>
      <c r="L19" s="394">
        <v>26730</v>
      </c>
    </row>
    <row r="20" spans="1:12">
      <c r="A20" s="370"/>
      <c r="B20" s="395"/>
      <c r="C20" s="384" t="s">
        <v>401</v>
      </c>
      <c r="D20" s="390">
        <v>2570</v>
      </c>
      <c r="E20" s="360">
        <v>2570</v>
      </c>
      <c r="F20" s="360">
        <v>2261.6</v>
      </c>
      <c r="G20" s="360">
        <v>1773.3</v>
      </c>
      <c r="H20" s="360">
        <v>1233.5999999999999</v>
      </c>
      <c r="I20" s="391">
        <v>559.3721346306412</v>
      </c>
      <c r="J20" s="392">
        <v>2647.1</v>
      </c>
      <c r="K20" s="393">
        <v>2647.1</v>
      </c>
      <c r="L20" s="394">
        <v>2329.4479999999999</v>
      </c>
    </row>
    <row r="21" spans="1:12">
      <c r="A21" s="370">
        <v>94</v>
      </c>
      <c r="B21" s="395">
        <v>34.444444444444443</v>
      </c>
      <c r="C21" s="384" t="s">
        <v>400</v>
      </c>
      <c r="D21" s="390">
        <v>38880</v>
      </c>
      <c r="E21" s="360">
        <v>38880</v>
      </c>
      <c r="F21" s="360">
        <v>29160.000000000004</v>
      </c>
      <c r="G21" s="360">
        <v>19440</v>
      </c>
      <c r="H21" s="360">
        <v>9720</v>
      </c>
      <c r="I21" s="391">
        <v>9560.1523752170469</v>
      </c>
      <c r="J21" s="392">
        <v>36000</v>
      </c>
      <c r="K21" s="393">
        <v>36000</v>
      </c>
      <c r="L21" s="394">
        <v>27000</v>
      </c>
    </row>
    <row r="22" spans="1:12">
      <c r="A22" s="370"/>
      <c r="B22" s="395"/>
      <c r="C22" s="384" t="s">
        <v>401</v>
      </c>
      <c r="D22" s="390">
        <v>2647.1</v>
      </c>
      <c r="E22" s="360">
        <v>2647.1</v>
      </c>
      <c r="F22" s="360">
        <v>2329.4479999999999</v>
      </c>
      <c r="G22" s="360">
        <v>1826.4989999999998</v>
      </c>
      <c r="H22" s="360">
        <v>1270.6079999999999</v>
      </c>
      <c r="I22" s="391">
        <v>574.45471305885076</v>
      </c>
      <c r="J22" s="392">
        <v>2544.3000000000002</v>
      </c>
      <c r="K22" s="393">
        <v>2544.3000000000002</v>
      </c>
      <c r="L22" s="394">
        <v>2238.9840000000004</v>
      </c>
    </row>
    <row r="23" spans="1:12">
      <c r="A23" s="370">
        <v>90</v>
      </c>
      <c r="B23" s="395">
        <v>32.222222222222221</v>
      </c>
      <c r="C23" s="384" t="s">
        <v>400</v>
      </c>
      <c r="D23" s="390">
        <v>39074.399999999994</v>
      </c>
      <c r="E23" s="360">
        <v>39074.399999999994</v>
      </c>
      <c r="F23" s="360">
        <v>29305.799999999996</v>
      </c>
      <c r="G23" s="360">
        <v>19537.199999999997</v>
      </c>
      <c r="H23" s="360">
        <v>9768.5999999999985</v>
      </c>
      <c r="I23" s="391">
        <v>9797.7199650458188</v>
      </c>
      <c r="J23" s="392">
        <v>36179.999999999993</v>
      </c>
      <c r="K23" s="393">
        <v>36179.999999999993</v>
      </c>
      <c r="L23" s="394">
        <v>27134.999999999993</v>
      </c>
    </row>
    <row r="24" spans="1:12">
      <c r="A24" s="370"/>
      <c r="B24" s="395"/>
      <c r="C24" s="384" t="s">
        <v>401</v>
      </c>
      <c r="D24" s="390">
        <v>2570</v>
      </c>
      <c r="E24" s="360">
        <v>2570</v>
      </c>
      <c r="F24" s="360">
        <v>2261.6</v>
      </c>
      <c r="G24" s="360">
        <v>1773.3</v>
      </c>
      <c r="H24" s="360">
        <v>1233.5999999999999</v>
      </c>
      <c r="I24" s="391">
        <v>556.02745741906779</v>
      </c>
      <c r="J24" s="392">
        <v>2441.5</v>
      </c>
      <c r="K24" s="393">
        <v>2441.5</v>
      </c>
      <c r="L24" s="394">
        <v>2148.52</v>
      </c>
    </row>
    <row r="25" spans="1:12">
      <c r="A25" s="370">
        <v>86</v>
      </c>
      <c r="B25" s="395">
        <v>30</v>
      </c>
      <c r="C25" s="384" t="s">
        <v>400</v>
      </c>
      <c r="D25" s="390">
        <v>39074.399999999994</v>
      </c>
      <c r="E25" s="360">
        <v>39074.399999999994</v>
      </c>
      <c r="F25" s="360">
        <v>29305.799999999996</v>
      </c>
      <c r="G25" s="360">
        <v>19537.199999999997</v>
      </c>
      <c r="H25" s="360">
        <v>9768.5999999999985</v>
      </c>
      <c r="I25" s="391">
        <v>10033.746745714398</v>
      </c>
      <c r="J25" s="392">
        <v>36179.999999999993</v>
      </c>
      <c r="K25" s="393">
        <v>36179.999999999993</v>
      </c>
      <c r="L25" s="394">
        <v>27134.999999999993</v>
      </c>
    </row>
    <row r="26" spans="1:12">
      <c r="A26" s="370"/>
      <c r="B26" s="395"/>
      <c r="C26" s="384" t="s">
        <v>401</v>
      </c>
      <c r="D26" s="390">
        <v>2518.6</v>
      </c>
      <c r="E26" s="360">
        <v>2518.6</v>
      </c>
      <c r="F26" s="360">
        <v>2216.3679999999999</v>
      </c>
      <c r="G26" s="360">
        <v>1737.8339999999998</v>
      </c>
      <c r="H26" s="360">
        <v>1208.9279999999999</v>
      </c>
      <c r="I26" s="391">
        <v>543.23207846237005</v>
      </c>
      <c r="J26" s="392">
        <v>2338.7000000000003</v>
      </c>
      <c r="K26" s="393">
        <v>2338.7000000000003</v>
      </c>
      <c r="L26" s="394">
        <v>2058.056</v>
      </c>
    </row>
    <row r="27" spans="1:12">
      <c r="A27" s="370">
        <v>82</v>
      </c>
      <c r="B27" s="395">
        <v>27.777777777777779</v>
      </c>
      <c r="C27" s="384" t="s">
        <v>400</v>
      </c>
      <c r="D27" s="390">
        <v>39074.399999999994</v>
      </c>
      <c r="E27" s="360">
        <v>39074.399999999994</v>
      </c>
      <c r="F27" s="360">
        <v>29305.799999999996</v>
      </c>
      <c r="G27" s="360">
        <v>19537.199999999997</v>
      </c>
      <c r="H27" s="360">
        <v>9768.5999999999985</v>
      </c>
      <c r="I27" s="391">
        <v>10268.77765971485</v>
      </c>
      <c r="J27" s="392">
        <v>36179.999999999993</v>
      </c>
      <c r="K27" s="393">
        <v>36179.999999999993</v>
      </c>
      <c r="L27" s="394">
        <v>27134.999999999993</v>
      </c>
    </row>
    <row r="28" spans="1:12">
      <c r="A28" s="370"/>
      <c r="B28" s="395"/>
      <c r="C28" s="384" t="s">
        <v>401</v>
      </c>
      <c r="D28" s="390">
        <v>2467.1999999999998</v>
      </c>
      <c r="E28" s="360">
        <v>2467.1999999999998</v>
      </c>
      <c r="F28" s="360">
        <v>2171.136</v>
      </c>
      <c r="G28" s="360">
        <v>1702.3679999999997</v>
      </c>
      <c r="H28" s="360">
        <v>1184.2559999999999</v>
      </c>
      <c r="I28" s="391">
        <v>524.40213847983762</v>
      </c>
      <c r="J28" s="392">
        <v>2261.6</v>
      </c>
      <c r="K28" s="393">
        <v>2261.6</v>
      </c>
      <c r="L28" s="394">
        <v>1990.2079999999999</v>
      </c>
    </row>
    <row r="29" spans="1:12">
      <c r="A29" s="370">
        <v>78</v>
      </c>
      <c r="B29" s="395">
        <v>25.555555555555557</v>
      </c>
      <c r="C29" s="384" t="s">
        <v>400</v>
      </c>
      <c r="D29" s="390">
        <v>39579.840000000004</v>
      </c>
      <c r="E29" s="360">
        <v>39579.840000000004</v>
      </c>
      <c r="F29" s="360">
        <v>29684.880000000001</v>
      </c>
      <c r="G29" s="360">
        <v>19789.920000000002</v>
      </c>
      <c r="H29" s="360">
        <v>9894.9600000000009</v>
      </c>
      <c r="I29" s="391">
        <v>10502.280894771256</v>
      </c>
      <c r="J29" s="392">
        <v>36648</v>
      </c>
      <c r="K29" s="393">
        <v>36648</v>
      </c>
      <c r="L29" s="394">
        <v>27486</v>
      </c>
    </row>
    <row r="30" spans="1:12">
      <c r="A30" s="370"/>
      <c r="B30" s="395"/>
      <c r="C30" s="384" t="s">
        <v>401</v>
      </c>
      <c r="D30" s="390">
        <v>2364.4</v>
      </c>
      <c r="E30" s="360">
        <v>2364.4</v>
      </c>
      <c r="F30" s="360">
        <v>2080.672</v>
      </c>
      <c r="G30" s="360">
        <v>1631.4359999999999</v>
      </c>
      <c r="H30" s="360">
        <v>1134.912</v>
      </c>
      <c r="I30" s="391">
        <v>500.62927588820099</v>
      </c>
      <c r="J30" s="392">
        <v>2158.7999999999997</v>
      </c>
      <c r="K30" s="393">
        <v>2158.7999999999997</v>
      </c>
      <c r="L30" s="394">
        <v>1899.7439999999997</v>
      </c>
    </row>
    <row r="31" spans="1:12">
      <c r="A31" s="370">
        <v>74</v>
      </c>
      <c r="B31" s="395">
        <v>23.333333333333332</v>
      </c>
      <c r="C31" s="384" t="s">
        <v>400</v>
      </c>
      <c r="D31" s="390">
        <v>39579.840000000004</v>
      </c>
      <c r="E31" s="360">
        <v>39579.840000000004</v>
      </c>
      <c r="F31" s="360">
        <v>29684.880000000001</v>
      </c>
      <c r="G31" s="360">
        <v>19789.920000000002</v>
      </c>
      <c r="H31" s="360">
        <v>9894.9600000000009</v>
      </c>
      <c r="I31" s="391">
        <v>10734.620797163139</v>
      </c>
      <c r="J31" s="392">
        <v>36648</v>
      </c>
      <c r="K31" s="393">
        <v>36648</v>
      </c>
      <c r="L31" s="394">
        <v>27486</v>
      </c>
    </row>
    <row r="32" spans="1:12">
      <c r="A32" s="370"/>
      <c r="B32" s="395"/>
      <c r="C32" s="384" t="s">
        <v>401</v>
      </c>
      <c r="D32" s="390">
        <v>2313</v>
      </c>
      <c r="E32" s="360">
        <v>2313</v>
      </c>
      <c r="F32" s="360">
        <v>2035.44</v>
      </c>
      <c r="G32" s="360">
        <v>1595.9699999999998</v>
      </c>
      <c r="H32" s="360">
        <v>1110.24</v>
      </c>
      <c r="I32" s="391">
        <v>487.77299755043958</v>
      </c>
      <c r="J32" s="392">
        <v>2056</v>
      </c>
      <c r="K32" s="393">
        <v>2056</v>
      </c>
      <c r="L32" s="394">
        <v>1809.28</v>
      </c>
    </row>
    <row r="33" spans="1:12">
      <c r="A33" s="370">
        <v>70</v>
      </c>
      <c r="B33" s="395">
        <v>21.111111111111111</v>
      </c>
      <c r="C33" s="384" t="s">
        <v>400</v>
      </c>
      <c r="D33" s="390">
        <v>39618.720000000001</v>
      </c>
      <c r="E33" s="360">
        <v>39618.720000000001</v>
      </c>
      <c r="F33" s="360">
        <v>29714.04</v>
      </c>
      <c r="G33" s="360">
        <v>19809.36</v>
      </c>
      <c r="H33" s="360">
        <v>9904.68</v>
      </c>
      <c r="I33" s="391">
        <v>10965.624698820489</v>
      </c>
      <c r="J33" s="392">
        <v>36684</v>
      </c>
      <c r="K33" s="393">
        <v>36684</v>
      </c>
      <c r="L33" s="394">
        <v>27513</v>
      </c>
    </row>
    <row r="34" spans="1:12">
      <c r="A34" s="370"/>
      <c r="B34" s="395"/>
      <c r="C34" s="384" t="s">
        <v>401</v>
      </c>
      <c r="D34" s="390">
        <v>2261.6</v>
      </c>
      <c r="E34" s="360">
        <v>2261.6</v>
      </c>
      <c r="F34" s="360">
        <v>1990.2079999999999</v>
      </c>
      <c r="G34" s="360">
        <v>1560.5039999999999</v>
      </c>
      <c r="H34" s="360">
        <v>1085.568</v>
      </c>
      <c r="I34" s="391">
        <v>474.92042500862169</v>
      </c>
      <c r="J34" s="392">
        <v>1953.2</v>
      </c>
      <c r="K34" s="393">
        <v>1953.2</v>
      </c>
      <c r="L34" s="394">
        <v>1718.816</v>
      </c>
    </row>
    <row r="35" spans="1:12">
      <c r="A35" s="370">
        <v>66</v>
      </c>
      <c r="B35" s="395">
        <v>18.888888888888889</v>
      </c>
      <c r="C35" s="384" t="s">
        <v>400</v>
      </c>
      <c r="D35" s="390">
        <v>39657.600000000006</v>
      </c>
      <c r="E35" s="360">
        <v>39657.600000000006</v>
      </c>
      <c r="F35" s="360">
        <v>29743.200000000001</v>
      </c>
      <c r="G35" s="360">
        <v>19828.800000000003</v>
      </c>
      <c r="H35" s="360">
        <v>9914.4000000000015</v>
      </c>
      <c r="I35" s="391">
        <v>11079.715884017678</v>
      </c>
      <c r="J35" s="392">
        <v>36720</v>
      </c>
      <c r="K35" s="393">
        <v>36720</v>
      </c>
      <c r="L35" s="394">
        <v>27540</v>
      </c>
    </row>
    <row r="36" spans="1:12">
      <c r="A36" s="370"/>
      <c r="B36" s="395"/>
      <c r="C36" s="384" t="s">
        <v>401</v>
      </c>
      <c r="D36" s="390">
        <v>2261.6</v>
      </c>
      <c r="E36" s="360">
        <v>2261.6</v>
      </c>
      <c r="F36" s="360">
        <v>1990.2079999999999</v>
      </c>
      <c r="G36" s="360">
        <v>1560.5039999999999</v>
      </c>
      <c r="H36" s="360">
        <v>1085.568</v>
      </c>
      <c r="I36" s="391">
        <v>421.26820006660625</v>
      </c>
      <c r="J36" s="392">
        <v>1901.8</v>
      </c>
      <c r="K36" s="393">
        <v>1901.8</v>
      </c>
      <c r="L36" s="394">
        <v>1673.5840000000001</v>
      </c>
    </row>
    <row r="37" spans="1:12">
      <c r="A37" s="370">
        <v>62</v>
      </c>
      <c r="B37" s="395">
        <v>16.666666666666668</v>
      </c>
      <c r="C37" s="384" t="s">
        <v>400</v>
      </c>
      <c r="D37" s="390">
        <v>39657.600000000006</v>
      </c>
      <c r="E37" s="360">
        <v>39657.600000000006</v>
      </c>
      <c r="F37" s="360">
        <v>29743.200000000001</v>
      </c>
      <c r="G37" s="360">
        <v>19828.800000000003</v>
      </c>
      <c r="H37" s="360">
        <v>9914.4000000000015</v>
      </c>
      <c r="I37" s="391">
        <v>11307.930400577532</v>
      </c>
      <c r="J37" s="392">
        <v>36720</v>
      </c>
      <c r="K37" s="393">
        <v>36720</v>
      </c>
      <c r="L37" s="394">
        <v>27540</v>
      </c>
    </row>
    <row r="38" spans="1:12">
      <c r="A38" s="370"/>
      <c r="B38" s="395"/>
      <c r="C38" s="384" t="s">
        <v>401</v>
      </c>
      <c r="D38" s="390">
        <v>2261.6</v>
      </c>
      <c r="E38" s="360">
        <v>2261.6</v>
      </c>
      <c r="F38" s="360">
        <v>1990.2079999999999</v>
      </c>
      <c r="G38" s="360">
        <v>1560.5039999999999</v>
      </c>
      <c r="H38" s="360">
        <v>1085.568</v>
      </c>
      <c r="I38" s="391">
        <v>393.69907425047359</v>
      </c>
      <c r="J38" s="392">
        <v>1901.8</v>
      </c>
      <c r="K38" s="393">
        <v>1901.8</v>
      </c>
      <c r="L38" s="394">
        <v>1673.5840000000001</v>
      </c>
    </row>
    <row r="39" spans="1:12">
      <c r="A39" s="370">
        <v>58</v>
      </c>
      <c r="B39" s="395">
        <v>14.444444444444445</v>
      </c>
      <c r="C39" s="384" t="s">
        <v>400</v>
      </c>
      <c r="D39" s="390">
        <v>39657.600000000006</v>
      </c>
      <c r="E39" s="360">
        <v>39657.600000000006</v>
      </c>
      <c r="F39" s="360">
        <v>29743.200000000001</v>
      </c>
      <c r="G39" s="360">
        <v>19828.800000000003</v>
      </c>
      <c r="H39" s="360">
        <v>9914.4000000000015</v>
      </c>
      <c r="I39" s="391">
        <v>11428.262248892113</v>
      </c>
      <c r="J39" s="392">
        <v>36720</v>
      </c>
      <c r="K39" s="393">
        <v>36720</v>
      </c>
      <c r="L39" s="394">
        <v>27540</v>
      </c>
    </row>
    <row r="40" spans="1:12">
      <c r="A40" s="370"/>
      <c r="B40" s="395"/>
      <c r="C40" s="384" t="s">
        <v>401</v>
      </c>
      <c r="D40" s="390">
        <v>2261.6</v>
      </c>
      <c r="E40" s="360">
        <v>2261.6</v>
      </c>
      <c r="F40" s="360">
        <v>1990.2079999999999</v>
      </c>
      <c r="G40" s="360">
        <v>1560.5039999999999</v>
      </c>
      <c r="H40" s="360">
        <v>1085.568</v>
      </c>
      <c r="I40" s="391">
        <v>359.28147811024712</v>
      </c>
      <c r="J40" s="392">
        <v>1901.8</v>
      </c>
      <c r="K40" s="393">
        <v>1901.8</v>
      </c>
      <c r="L40" s="394">
        <v>1673.5840000000001</v>
      </c>
    </row>
    <row r="41" spans="1:12">
      <c r="A41" s="370">
        <v>54</v>
      </c>
      <c r="B41" s="395">
        <v>12.222222222222221</v>
      </c>
      <c r="C41" s="384" t="s">
        <v>400</v>
      </c>
      <c r="D41" s="390">
        <v>39657.600000000006</v>
      </c>
      <c r="E41" s="360">
        <v>39657.600000000006</v>
      </c>
      <c r="F41" s="360">
        <v>29743.200000000001</v>
      </c>
      <c r="G41" s="360">
        <v>19828.800000000003</v>
      </c>
      <c r="H41" s="360">
        <v>9914.4000000000015</v>
      </c>
      <c r="I41" s="391">
        <v>11654.048119701027</v>
      </c>
      <c r="J41" s="392">
        <v>36720</v>
      </c>
      <c r="K41" s="393">
        <v>36720</v>
      </c>
      <c r="L41" s="394">
        <v>27540</v>
      </c>
    </row>
    <row r="42" spans="1:12">
      <c r="A42" s="370"/>
      <c r="B42" s="395"/>
      <c r="C42" s="384" t="s">
        <v>401</v>
      </c>
      <c r="D42" s="390">
        <v>2261.6</v>
      </c>
      <c r="E42" s="360">
        <v>2261.6</v>
      </c>
      <c r="F42" s="360">
        <v>1990.2079999999999</v>
      </c>
      <c r="G42" s="360">
        <v>1560.5039999999999</v>
      </c>
      <c r="H42" s="360">
        <v>1085.568</v>
      </c>
      <c r="I42" s="391">
        <v>331.94672455304385</v>
      </c>
      <c r="J42" s="392">
        <v>1901.8</v>
      </c>
      <c r="K42" s="393">
        <v>1901.8</v>
      </c>
      <c r="L42" s="394">
        <v>1673.5840000000001</v>
      </c>
    </row>
    <row r="43" spans="1:12">
      <c r="A43" s="370">
        <v>50</v>
      </c>
      <c r="B43" s="395">
        <v>10</v>
      </c>
      <c r="C43" s="384" t="s">
        <v>400</v>
      </c>
      <c r="D43" s="390">
        <v>39657.600000000006</v>
      </c>
      <c r="E43" s="360">
        <v>39657.600000000006</v>
      </c>
      <c r="F43" s="360">
        <v>29743.200000000001</v>
      </c>
      <c r="G43" s="360">
        <v>19828.800000000003</v>
      </c>
      <c r="H43" s="360">
        <v>9914.4000000000015</v>
      </c>
      <c r="I43" s="391">
        <v>11402.00536321497</v>
      </c>
      <c r="J43" s="392">
        <v>36720</v>
      </c>
      <c r="K43" s="393">
        <v>36720</v>
      </c>
      <c r="L43" s="394">
        <v>27540</v>
      </c>
    </row>
    <row r="44" spans="1:12">
      <c r="A44" s="370"/>
      <c r="B44" s="395"/>
      <c r="C44" s="384" t="s">
        <v>401</v>
      </c>
      <c r="D44" s="390">
        <v>2261.6</v>
      </c>
      <c r="E44" s="360">
        <v>2261.6</v>
      </c>
      <c r="F44" s="360">
        <v>1990.2079999999999</v>
      </c>
      <c r="G44" s="360">
        <v>1560.5039999999999</v>
      </c>
      <c r="H44" s="360">
        <v>1085.568</v>
      </c>
      <c r="I44" s="391">
        <v>357.8734296017937</v>
      </c>
      <c r="J44" s="392">
        <v>1901.8</v>
      </c>
      <c r="K44" s="393">
        <v>1901.8</v>
      </c>
      <c r="L44" s="394">
        <v>1673.5840000000001</v>
      </c>
    </row>
    <row r="45" spans="1:12">
      <c r="A45" s="370">
        <v>46</v>
      </c>
      <c r="B45" s="395">
        <v>7.7777777777777777</v>
      </c>
      <c r="C45" s="384" t="s">
        <v>400</v>
      </c>
      <c r="D45" s="390">
        <v>39657.600000000006</v>
      </c>
      <c r="E45" s="360">
        <v>39657.600000000006</v>
      </c>
      <c r="F45" s="360">
        <v>29743.200000000001</v>
      </c>
      <c r="G45" s="360">
        <v>19828.800000000003</v>
      </c>
      <c r="H45" s="360">
        <v>9914.4000000000015</v>
      </c>
      <c r="I45" s="391">
        <v>11259.977192507789</v>
      </c>
      <c r="J45" s="392">
        <v>36720</v>
      </c>
      <c r="K45" s="393">
        <v>36720</v>
      </c>
      <c r="L45" s="394">
        <v>27540</v>
      </c>
    </row>
    <row r="46" spans="1:12">
      <c r="A46" s="370"/>
      <c r="B46" s="395"/>
      <c r="C46" s="384" t="s">
        <v>401</v>
      </c>
      <c r="D46" s="390">
        <v>2261.6</v>
      </c>
      <c r="E46" s="360">
        <v>2261.6</v>
      </c>
      <c r="F46" s="360">
        <v>1990.2079999999999</v>
      </c>
      <c r="G46" s="360">
        <v>1560.5039999999999</v>
      </c>
      <c r="H46" s="360">
        <v>1085.568</v>
      </c>
      <c r="I46" s="391">
        <v>371.22521036508232</v>
      </c>
      <c r="J46" s="392">
        <v>1901.8</v>
      </c>
      <c r="K46" s="393">
        <v>1901.8</v>
      </c>
      <c r="L46" s="394">
        <v>1673.5840000000001</v>
      </c>
    </row>
    <row r="47" spans="1:12">
      <c r="A47" s="370">
        <v>42</v>
      </c>
      <c r="B47" s="395">
        <v>5.5555555555555554</v>
      </c>
      <c r="C47" s="384" t="s">
        <v>400</v>
      </c>
      <c r="D47" s="390">
        <v>39657.600000000006</v>
      </c>
      <c r="E47" s="360">
        <v>39657.600000000006</v>
      </c>
      <c r="F47" s="360">
        <v>29743.200000000001</v>
      </c>
      <c r="G47" s="360">
        <v>19828.800000000003</v>
      </c>
      <c r="H47" s="360">
        <v>9914.4000000000015</v>
      </c>
      <c r="I47" s="391">
        <v>11480.758869951609</v>
      </c>
      <c r="J47" s="392">
        <v>36720</v>
      </c>
      <c r="K47" s="393">
        <v>36720</v>
      </c>
      <c r="L47" s="394">
        <v>27540</v>
      </c>
    </row>
    <row r="48" spans="1:12">
      <c r="A48" s="396"/>
      <c r="B48" s="397"/>
      <c r="C48" s="384" t="s">
        <v>401</v>
      </c>
      <c r="D48" s="390">
        <v>2261.6</v>
      </c>
      <c r="E48" s="360">
        <v>2261.6</v>
      </c>
      <c r="F48" s="360">
        <v>1990.2079999999999</v>
      </c>
      <c r="G48" s="360">
        <v>1560.5039999999999</v>
      </c>
      <c r="H48" s="360">
        <v>1085.568</v>
      </c>
      <c r="I48" s="391">
        <v>344.52484332052416</v>
      </c>
      <c r="J48" s="392">
        <v>1901.8</v>
      </c>
      <c r="K48" s="393">
        <v>1901.8</v>
      </c>
      <c r="L48" s="394">
        <v>1673.5840000000001</v>
      </c>
    </row>
    <row r="49" spans="1:12">
      <c r="A49" s="370">
        <v>38</v>
      </c>
      <c r="B49" s="395">
        <v>3.3333333333333335</v>
      </c>
      <c r="C49" s="384" t="s">
        <v>400</v>
      </c>
      <c r="D49" s="390">
        <v>39657.600000000006</v>
      </c>
      <c r="E49" s="360">
        <v>39657.600000000006</v>
      </c>
      <c r="F49" s="360">
        <v>29743.200000000001</v>
      </c>
      <c r="G49" s="360">
        <v>19828.800000000003</v>
      </c>
      <c r="H49" s="360">
        <v>9914.4000000000015</v>
      </c>
      <c r="I49" s="391">
        <v>11701.540547395494</v>
      </c>
      <c r="J49" s="392">
        <v>36720</v>
      </c>
      <c r="K49" s="393">
        <v>36720</v>
      </c>
      <c r="L49" s="394">
        <v>27540</v>
      </c>
    </row>
    <row r="50" spans="1:12">
      <c r="A50" s="370"/>
      <c r="B50" s="395"/>
      <c r="C50" s="384" t="s">
        <v>401</v>
      </c>
      <c r="D50" s="390">
        <v>2261.6</v>
      </c>
      <c r="E50" s="360">
        <v>2261.6</v>
      </c>
      <c r="F50" s="360">
        <v>1990.2079999999999</v>
      </c>
      <c r="G50" s="360">
        <v>1560.5039999999999</v>
      </c>
      <c r="H50" s="360">
        <v>1085.568</v>
      </c>
      <c r="I50" s="391">
        <v>343.82432432432432</v>
      </c>
      <c r="J50" s="392">
        <v>1901.8</v>
      </c>
      <c r="K50" s="393">
        <v>1901.8</v>
      </c>
      <c r="L50" s="394">
        <v>1673.5840000000001</v>
      </c>
    </row>
    <row r="51" spans="1:12">
      <c r="A51" s="370">
        <v>34</v>
      </c>
      <c r="B51" s="395">
        <v>1.1111111111111112</v>
      </c>
      <c r="C51" s="384" t="s">
        <v>400</v>
      </c>
      <c r="D51" s="390">
        <v>39657.600000000006</v>
      </c>
      <c r="E51" s="360">
        <v>39657.600000000006</v>
      </c>
      <c r="F51" s="360">
        <v>29743.200000000001</v>
      </c>
      <c r="G51" s="360">
        <v>19828.800000000003</v>
      </c>
      <c r="H51" s="360">
        <v>9914.4000000000015</v>
      </c>
      <c r="I51" s="391">
        <v>11922.322224839316</v>
      </c>
      <c r="J51" s="392">
        <v>36720</v>
      </c>
      <c r="K51" s="393">
        <v>36720</v>
      </c>
      <c r="L51" s="394">
        <v>27540</v>
      </c>
    </row>
    <row r="52" spans="1:12">
      <c r="A52" s="370"/>
      <c r="B52" s="395"/>
      <c r="C52" s="384" t="s">
        <v>401</v>
      </c>
      <c r="D52" s="390">
        <v>2261.6</v>
      </c>
      <c r="E52" s="360">
        <v>2261.6</v>
      </c>
      <c r="F52" s="360">
        <v>1990.2079999999999</v>
      </c>
      <c r="G52" s="360">
        <v>1560.5039999999999</v>
      </c>
      <c r="H52" s="360">
        <v>1085.568</v>
      </c>
      <c r="I52" s="391">
        <v>343.82432432432432</v>
      </c>
      <c r="J52" s="392">
        <v>1901.8</v>
      </c>
      <c r="K52" s="393">
        <v>1901.8</v>
      </c>
      <c r="L52" s="394">
        <v>1673.5840000000001</v>
      </c>
    </row>
    <row r="53" spans="1:12">
      <c r="A53" s="370">
        <v>30</v>
      </c>
      <c r="B53" s="395">
        <v>-1.1111111111111112</v>
      </c>
      <c r="C53" s="384" t="s">
        <v>400</v>
      </c>
      <c r="D53" s="390">
        <v>39657.600000000006</v>
      </c>
      <c r="E53" s="360">
        <v>39657.600000000006</v>
      </c>
      <c r="F53" s="360">
        <v>29743.200000000001</v>
      </c>
      <c r="G53" s="360">
        <v>19828.800000000003</v>
      </c>
      <c r="H53" s="360">
        <v>9914.4000000000015</v>
      </c>
      <c r="I53" s="391">
        <v>12143.103902283143</v>
      </c>
      <c r="J53" s="392">
        <v>36720</v>
      </c>
      <c r="K53" s="393">
        <v>36720</v>
      </c>
      <c r="L53" s="394">
        <v>27540</v>
      </c>
    </row>
    <row r="54" spans="1:12">
      <c r="A54" s="370"/>
      <c r="B54" s="395"/>
      <c r="C54" s="384" t="s">
        <v>401</v>
      </c>
      <c r="D54" s="390">
        <v>2261.6</v>
      </c>
      <c r="E54" s="360">
        <v>2261.6</v>
      </c>
      <c r="F54" s="360">
        <v>1990.2079999999999</v>
      </c>
      <c r="G54" s="360">
        <v>1560.5039999999999</v>
      </c>
      <c r="H54" s="360">
        <v>1085.568</v>
      </c>
      <c r="I54" s="391">
        <v>343.82432432432432</v>
      </c>
      <c r="J54" s="392">
        <v>1901.8</v>
      </c>
      <c r="K54" s="393">
        <v>1901.8</v>
      </c>
      <c r="L54" s="394">
        <v>1673.5840000000001</v>
      </c>
    </row>
    <row r="55" spans="1:12">
      <c r="A55" s="370">
        <v>26</v>
      </c>
      <c r="B55" s="395">
        <v>-3.3333333333333335</v>
      </c>
      <c r="C55" s="384" t="s">
        <v>400</v>
      </c>
      <c r="D55" s="390">
        <v>39657.600000000006</v>
      </c>
      <c r="E55" s="360">
        <v>39657.600000000006</v>
      </c>
      <c r="F55" s="360">
        <v>29743.200000000001</v>
      </c>
      <c r="G55" s="360">
        <v>19828.800000000003</v>
      </c>
      <c r="H55" s="360">
        <v>9914.4000000000015</v>
      </c>
      <c r="I55" s="391">
        <v>12363.885579726968</v>
      </c>
      <c r="J55" s="392">
        <v>36720</v>
      </c>
      <c r="K55" s="393">
        <v>36720</v>
      </c>
      <c r="L55" s="394">
        <v>27540</v>
      </c>
    </row>
    <row r="56" spans="1:12">
      <c r="A56" s="370"/>
      <c r="B56" s="395"/>
      <c r="C56" s="384" t="s">
        <v>401</v>
      </c>
      <c r="D56" s="390">
        <v>2261.6</v>
      </c>
      <c r="E56" s="360">
        <v>2261.6</v>
      </c>
      <c r="F56" s="360">
        <v>1990.2079999999999</v>
      </c>
      <c r="G56" s="360">
        <v>1560.5039999999999</v>
      </c>
      <c r="H56" s="360">
        <v>1085.568</v>
      </c>
      <c r="I56" s="391">
        <v>343.82432432432432</v>
      </c>
      <c r="J56" s="392">
        <v>1901.8</v>
      </c>
      <c r="K56" s="393">
        <v>1901.8</v>
      </c>
      <c r="L56" s="394">
        <v>1673.5840000000001</v>
      </c>
    </row>
    <row r="57" spans="1:12">
      <c r="A57" s="398">
        <v>23</v>
      </c>
      <c r="B57" s="399">
        <v>-5</v>
      </c>
      <c r="C57" s="384" t="s">
        <v>400</v>
      </c>
      <c r="D57" s="390">
        <v>39657.600000000006</v>
      </c>
      <c r="E57" s="360">
        <v>39657.600000000006</v>
      </c>
      <c r="F57" s="360">
        <v>29743.200000000001</v>
      </c>
      <c r="G57" s="360">
        <v>19828.800000000003</v>
      </c>
      <c r="H57" s="360">
        <v>9914.4000000000015</v>
      </c>
      <c r="I57" s="391">
        <v>12584.66725717079</v>
      </c>
      <c r="J57" s="392">
        <v>36720</v>
      </c>
      <c r="K57" s="393">
        <v>36720</v>
      </c>
      <c r="L57" s="394">
        <v>27540</v>
      </c>
    </row>
    <row r="58" spans="1:12">
      <c r="A58" s="370"/>
      <c r="B58" s="395"/>
      <c r="C58" s="384" t="s">
        <v>401</v>
      </c>
      <c r="D58" s="390">
        <v>2261.6</v>
      </c>
      <c r="E58" s="360">
        <v>2261.6</v>
      </c>
      <c r="F58" s="360">
        <v>1990.2079999999999</v>
      </c>
      <c r="G58" s="360">
        <v>1560.5039999999999</v>
      </c>
      <c r="H58" s="360">
        <v>1085.568</v>
      </c>
      <c r="I58" s="391">
        <v>343.82432432432432</v>
      </c>
      <c r="J58" s="392">
        <v>1901.8</v>
      </c>
      <c r="K58" s="393">
        <v>1901.8</v>
      </c>
      <c r="L58" s="394">
        <v>1673.5840000000001</v>
      </c>
    </row>
    <row r="59" spans="1:12">
      <c r="A59" s="370">
        <v>18</v>
      </c>
      <c r="B59" s="395">
        <v>-7.7777777777777777</v>
      </c>
      <c r="C59" s="384" t="s">
        <v>400</v>
      </c>
      <c r="D59" s="390">
        <v>39657.600000000006</v>
      </c>
      <c r="E59" s="360">
        <v>39657.600000000006</v>
      </c>
      <c r="F59" s="360">
        <v>29743.200000000001</v>
      </c>
      <c r="G59" s="360">
        <v>19828.800000000003</v>
      </c>
      <c r="H59" s="360">
        <v>9914.4000000000015</v>
      </c>
      <c r="I59" s="391">
        <v>12805.448934614671</v>
      </c>
      <c r="J59" s="392">
        <v>36720</v>
      </c>
      <c r="K59" s="393">
        <v>36720</v>
      </c>
      <c r="L59" s="394">
        <v>27540</v>
      </c>
    </row>
    <row r="60" spans="1:12">
      <c r="A60" s="370"/>
      <c r="B60" s="395"/>
      <c r="C60" s="384" t="s">
        <v>401</v>
      </c>
      <c r="D60" s="390">
        <v>2261.6</v>
      </c>
      <c r="E60" s="360">
        <v>2261.6</v>
      </c>
      <c r="F60" s="360">
        <v>1990.2079999999999</v>
      </c>
      <c r="G60" s="360">
        <v>1560.5039999999999</v>
      </c>
      <c r="H60" s="360">
        <v>1085.568</v>
      </c>
      <c r="I60" s="391">
        <v>343.82432432432432</v>
      </c>
      <c r="J60" s="392">
        <v>1901.8</v>
      </c>
      <c r="K60" s="393">
        <v>1901.8</v>
      </c>
      <c r="L60" s="394">
        <v>1673.5840000000001</v>
      </c>
    </row>
    <row r="61" spans="1:12">
      <c r="A61" s="370">
        <v>14</v>
      </c>
      <c r="B61" s="395">
        <v>-10</v>
      </c>
      <c r="C61" s="384" t="s">
        <v>400</v>
      </c>
      <c r="D61" s="390">
        <v>39657.600000000006</v>
      </c>
      <c r="E61" s="360">
        <v>39657.600000000006</v>
      </c>
      <c r="F61" s="360">
        <v>29743.200000000001</v>
      </c>
      <c r="G61" s="360">
        <v>19828.800000000003</v>
      </c>
      <c r="H61" s="360">
        <v>9914.4000000000015</v>
      </c>
      <c r="I61" s="391">
        <v>13026.230612058498</v>
      </c>
      <c r="J61" s="392">
        <v>36720</v>
      </c>
      <c r="K61" s="393">
        <v>36720</v>
      </c>
      <c r="L61" s="394">
        <v>27540</v>
      </c>
    </row>
    <row r="62" spans="1:12">
      <c r="A62" s="370"/>
      <c r="B62" s="395"/>
      <c r="C62" s="384" t="s">
        <v>401</v>
      </c>
      <c r="D62" s="390">
        <v>2261.6</v>
      </c>
      <c r="E62" s="360">
        <v>2261.6</v>
      </c>
      <c r="F62" s="360">
        <v>1990.2079999999999</v>
      </c>
      <c r="G62" s="360">
        <v>1560.5039999999999</v>
      </c>
      <c r="H62" s="360">
        <v>1085.568</v>
      </c>
      <c r="I62" s="391">
        <v>343.82432432432432</v>
      </c>
      <c r="J62" s="392">
        <v>1901.8</v>
      </c>
      <c r="K62" s="393">
        <v>1901.8</v>
      </c>
      <c r="L62" s="394">
        <v>1673.5840000000001</v>
      </c>
    </row>
    <row r="63" spans="1:12">
      <c r="A63" s="370">
        <v>10</v>
      </c>
      <c r="B63" s="395">
        <v>-12.222222222222221</v>
      </c>
      <c r="C63" s="384" t="s">
        <v>400</v>
      </c>
      <c r="D63" s="390">
        <v>39657.600000000006</v>
      </c>
      <c r="E63" s="360">
        <v>39657.600000000006</v>
      </c>
      <c r="F63" s="360">
        <v>29743.200000000001</v>
      </c>
      <c r="G63" s="360">
        <v>19828.800000000003</v>
      </c>
      <c r="H63" s="360">
        <v>9914.4000000000015</v>
      </c>
      <c r="I63" s="391">
        <v>13247.012289502323</v>
      </c>
      <c r="J63" s="392">
        <v>36720</v>
      </c>
      <c r="K63" s="393">
        <v>36720</v>
      </c>
      <c r="L63" s="394">
        <v>27540</v>
      </c>
    </row>
    <row r="64" spans="1:12">
      <c r="A64" s="370"/>
      <c r="B64" s="395"/>
      <c r="C64" s="384" t="s">
        <v>401</v>
      </c>
      <c r="D64" s="390">
        <v>2261.6</v>
      </c>
      <c r="E64" s="360">
        <v>2261.6</v>
      </c>
      <c r="F64" s="360">
        <v>1990.2079999999999</v>
      </c>
      <c r="G64" s="360">
        <v>1560.5039999999999</v>
      </c>
      <c r="H64" s="360">
        <v>1085.568</v>
      </c>
      <c r="I64" s="391">
        <v>343.82432432432432</v>
      </c>
      <c r="J64" s="392">
        <v>1901.8</v>
      </c>
      <c r="K64" s="393">
        <v>1901.8</v>
      </c>
      <c r="L64" s="394">
        <v>1673.5840000000001</v>
      </c>
    </row>
    <row r="65" spans="1:16">
      <c r="A65" s="370">
        <v>6</v>
      </c>
      <c r="B65" s="395">
        <v>-14.444444444444445</v>
      </c>
      <c r="C65" s="384" t="s">
        <v>400</v>
      </c>
      <c r="D65" s="390">
        <v>39657.600000000006</v>
      </c>
      <c r="E65" s="360">
        <v>39657.600000000006</v>
      </c>
      <c r="F65" s="360">
        <v>29743.200000000001</v>
      </c>
      <c r="G65" s="360">
        <v>19828.800000000003</v>
      </c>
      <c r="H65" s="360">
        <v>9914.4000000000015</v>
      </c>
      <c r="I65" s="391">
        <v>13467.793966946143</v>
      </c>
      <c r="J65" s="392">
        <v>36720</v>
      </c>
      <c r="K65" s="393">
        <v>36720</v>
      </c>
      <c r="L65" s="394">
        <v>27540</v>
      </c>
    </row>
    <row r="66" spans="1:16">
      <c r="A66" s="370"/>
      <c r="B66" s="395"/>
      <c r="C66" s="384" t="s">
        <v>401</v>
      </c>
      <c r="D66" s="390">
        <v>2261.6</v>
      </c>
      <c r="E66" s="360">
        <v>2261.6</v>
      </c>
      <c r="F66" s="360">
        <v>1990.2079999999999</v>
      </c>
      <c r="G66" s="360">
        <v>1560.5039999999999</v>
      </c>
      <c r="H66" s="360">
        <v>1085.568</v>
      </c>
      <c r="I66" s="391">
        <v>343.82432432432432</v>
      </c>
      <c r="J66" s="392">
        <v>1901.8</v>
      </c>
      <c r="K66" s="393">
        <v>1901.8</v>
      </c>
      <c r="L66" s="394">
        <v>1673.5840000000001</v>
      </c>
    </row>
    <row r="67" spans="1:16">
      <c r="A67" s="400">
        <v>2</v>
      </c>
      <c r="B67" s="401">
        <v>-16.666666666666668</v>
      </c>
      <c r="C67" s="402" t="s">
        <v>400</v>
      </c>
      <c r="D67" s="403"/>
      <c r="E67" s="404"/>
      <c r="F67" s="405"/>
      <c r="G67" s="405"/>
      <c r="H67" s="405"/>
      <c r="I67" s="406"/>
      <c r="J67" s="403"/>
      <c r="K67" s="404"/>
      <c r="L67" s="405"/>
    </row>
    <row r="68" spans="1:16">
      <c r="A68" s="400"/>
      <c r="B68" s="401"/>
      <c r="C68" s="402" t="s">
        <v>401</v>
      </c>
      <c r="D68" s="403"/>
      <c r="E68" s="404"/>
      <c r="F68" s="405"/>
      <c r="G68" s="405"/>
      <c r="H68" s="405"/>
      <c r="I68" s="406"/>
      <c r="J68" s="403"/>
      <c r="K68" s="404"/>
      <c r="L68" s="405"/>
    </row>
    <row r="69" spans="1:16">
      <c r="A69" s="400">
        <v>0</v>
      </c>
      <c r="B69" s="401">
        <v>-17.777777777777779</v>
      </c>
      <c r="C69" s="402" t="s">
        <v>400</v>
      </c>
      <c r="D69" s="403"/>
      <c r="E69" s="404"/>
      <c r="F69" s="405"/>
      <c r="G69" s="405"/>
      <c r="H69" s="405"/>
      <c r="I69" s="406"/>
      <c r="J69" s="403"/>
      <c r="K69" s="404"/>
      <c r="L69" s="405"/>
    </row>
    <row r="70" spans="1:16">
      <c r="A70" s="407"/>
      <c r="B70" s="408"/>
      <c r="C70" s="409" t="s">
        <v>401</v>
      </c>
      <c r="D70" s="410"/>
      <c r="E70" s="411"/>
      <c r="F70" s="412"/>
      <c r="G70" s="412"/>
      <c r="H70" s="412"/>
      <c r="I70" s="413"/>
      <c r="J70" s="410"/>
      <c r="K70" s="411"/>
      <c r="L70" s="412"/>
    </row>
    <row r="71" spans="1:16">
      <c r="A71" s="358" t="s">
        <v>414</v>
      </c>
      <c r="B71" s="358"/>
      <c r="C71" s="359"/>
      <c r="D71" s="359"/>
      <c r="E71" s="359"/>
      <c r="F71" s="359"/>
      <c r="G71" s="359"/>
      <c r="H71" s="359"/>
      <c r="I71" s="359"/>
      <c r="J71" s="359"/>
      <c r="K71" s="359"/>
      <c r="L71" s="359"/>
    </row>
    <row r="72" spans="1:16">
      <c r="A72" s="358"/>
      <c r="B72" s="358"/>
      <c r="C72" s="359"/>
      <c r="D72" s="359"/>
      <c r="E72" s="359"/>
      <c r="F72" s="359"/>
      <c r="G72" s="359"/>
      <c r="H72" s="359"/>
      <c r="I72" s="359"/>
      <c r="J72" s="360"/>
      <c r="K72" s="361"/>
      <c r="L72" s="361"/>
    </row>
    <row r="73" spans="1:16">
      <c r="A73" s="358"/>
      <c r="B73" s="358"/>
      <c r="C73" s="359"/>
      <c r="D73" s="359" t="s">
        <v>408</v>
      </c>
      <c r="E73" s="359"/>
      <c r="F73" s="359"/>
      <c r="G73" s="359"/>
      <c r="H73" s="359"/>
      <c r="I73" s="359"/>
      <c r="J73" s="360"/>
      <c r="K73" s="360"/>
      <c r="L73" s="360"/>
    </row>
    <row r="74" spans="1:16">
      <c r="A74" s="358"/>
      <c r="B74" s="358"/>
      <c r="C74" s="359"/>
      <c r="D74" s="359" t="s">
        <v>400</v>
      </c>
      <c r="E74" s="414">
        <v>45000</v>
      </c>
      <c r="F74" s="359"/>
      <c r="G74" s="359"/>
      <c r="H74" s="359"/>
      <c r="I74" s="359"/>
      <c r="J74" s="360"/>
      <c r="K74" s="360"/>
      <c r="L74" s="360"/>
    </row>
    <row r="75" spans="1:16">
      <c r="A75" s="358"/>
      <c r="B75" s="358"/>
      <c r="C75" s="359"/>
      <c r="D75" s="359" t="s">
        <v>401</v>
      </c>
      <c r="E75" s="414">
        <v>3340</v>
      </c>
      <c r="F75" s="359"/>
      <c r="G75" s="359"/>
      <c r="H75" s="359"/>
      <c r="I75" s="359"/>
      <c r="J75" s="359"/>
      <c r="K75" s="359"/>
      <c r="L75" s="359"/>
    </row>
    <row r="76" spans="1:16">
      <c r="A76" s="358" t="s">
        <v>415</v>
      </c>
      <c r="B76" s="358"/>
      <c r="C76" s="359"/>
      <c r="D76" s="359"/>
      <c r="E76" s="359"/>
      <c r="F76" s="359"/>
      <c r="G76" s="359"/>
      <c r="H76" s="359"/>
      <c r="I76" s="359"/>
      <c r="J76" s="359"/>
      <c r="K76" s="359"/>
      <c r="L76" s="359"/>
    </row>
    <row r="77" spans="1:16" ht="15" customHeight="1">
      <c r="A77" s="415" t="s">
        <v>416</v>
      </c>
      <c r="B77" s="368"/>
      <c r="C77" s="369"/>
      <c r="D77" s="489" t="s">
        <v>417</v>
      </c>
      <c r="E77" s="489"/>
      <c r="F77" s="489"/>
      <c r="G77" s="489"/>
      <c r="H77" s="489"/>
      <c r="I77" s="489"/>
      <c r="J77" s="416"/>
      <c r="K77" s="416"/>
      <c r="L77" s="416"/>
    </row>
    <row r="78" spans="1:16">
      <c r="A78" s="398" t="s">
        <v>418</v>
      </c>
      <c r="B78" s="417" t="s">
        <v>418</v>
      </c>
      <c r="C78" s="372"/>
      <c r="D78" s="373" t="s">
        <v>407</v>
      </c>
      <c r="E78" s="372" t="s">
        <v>408</v>
      </c>
      <c r="F78" s="374">
        <v>0.75</v>
      </c>
      <c r="G78" s="374">
        <v>0.5</v>
      </c>
      <c r="H78" s="374">
        <v>0.25</v>
      </c>
      <c r="I78" s="375" t="s">
        <v>409</v>
      </c>
      <c r="J78" s="372"/>
      <c r="K78" s="372"/>
      <c r="L78" s="374">
        <v>1</v>
      </c>
      <c r="M78" s="374" t="s">
        <v>420</v>
      </c>
      <c r="N78" s="303">
        <v>0.75</v>
      </c>
      <c r="O78" s="303">
        <v>0.5</v>
      </c>
      <c r="P78" s="303" t="s">
        <v>421</v>
      </c>
    </row>
    <row r="79" spans="1:16">
      <c r="A79" s="376" t="s">
        <v>410</v>
      </c>
      <c r="B79" s="377" t="s">
        <v>411</v>
      </c>
      <c r="C79" s="378"/>
      <c r="D79" s="381"/>
      <c r="E79" s="381"/>
      <c r="F79" s="381"/>
      <c r="G79" s="381"/>
      <c r="H79" s="381"/>
      <c r="I79" s="381"/>
      <c r="J79" s="359"/>
      <c r="K79" s="359"/>
      <c r="L79" s="360"/>
      <c r="M79" s="360"/>
    </row>
    <row r="80" spans="1:16" ht="15" customHeight="1">
      <c r="A80" s="400">
        <v>70</v>
      </c>
      <c r="B80" s="401">
        <v>21.111111111111111</v>
      </c>
      <c r="C80" s="402" t="s">
        <v>412</v>
      </c>
      <c r="D80" s="418"/>
      <c r="E80" s="419"/>
      <c r="F80" s="420"/>
      <c r="G80" s="420"/>
      <c r="H80" s="420"/>
      <c r="I80" s="421"/>
      <c r="J80" s="359"/>
      <c r="K80" s="359"/>
      <c r="L80" s="360"/>
      <c r="M80" s="360"/>
    </row>
    <row r="81" spans="1:27">
      <c r="A81" s="400"/>
      <c r="B81" s="401"/>
      <c r="C81" s="402" t="s">
        <v>413</v>
      </c>
      <c r="D81" s="403"/>
      <c r="E81" s="404"/>
      <c r="F81" s="405"/>
      <c r="G81" s="405"/>
      <c r="H81" s="405"/>
      <c r="I81" s="406"/>
      <c r="J81" s="359"/>
      <c r="K81" s="359"/>
      <c r="L81" s="360"/>
      <c r="M81" s="360"/>
    </row>
    <row r="82" spans="1:27">
      <c r="A82" s="400">
        <v>65</v>
      </c>
      <c r="B82" s="401">
        <v>18.333333333333332</v>
      </c>
      <c r="C82" s="402" t="s">
        <v>412</v>
      </c>
      <c r="D82" s="403"/>
      <c r="E82" s="422"/>
      <c r="F82" s="405"/>
      <c r="G82" s="405"/>
      <c r="H82" s="405"/>
      <c r="I82" s="406"/>
      <c r="J82" s="359"/>
      <c r="K82" s="359"/>
      <c r="L82" s="360"/>
      <c r="M82" s="360"/>
    </row>
    <row r="83" spans="1:27">
      <c r="A83" s="400"/>
      <c r="B83" s="401"/>
      <c r="C83" s="402" t="s">
        <v>413</v>
      </c>
      <c r="D83" s="423"/>
      <c r="E83" s="423"/>
      <c r="F83" s="405"/>
      <c r="G83" s="405"/>
      <c r="H83" s="405"/>
      <c r="I83" s="406"/>
      <c r="J83" s="359"/>
      <c r="K83" s="359"/>
      <c r="L83" s="361">
        <v>1</v>
      </c>
      <c r="M83" s="361" t="s">
        <v>420</v>
      </c>
      <c r="N83" s="303">
        <v>0.75</v>
      </c>
      <c r="O83" s="303">
        <v>0.5</v>
      </c>
      <c r="P83" t="s">
        <v>421</v>
      </c>
      <c r="R83" t="s">
        <v>422</v>
      </c>
      <c r="S83" t="s">
        <v>423</v>
      </c>
      <c r="Y83" t="s">
        <v>424</v>
      </c>
      <c r="Z83" t="s">
        <v>425</v>
      </c>
    </row>
    <row r="84" spans="1:27">
      <c r="A84" s="370">
        <v>60</v>
      </c>
      <c r="B84" s="395">
        <v>15.555555555555555</v>
      </c>
      <c r="C84" s="384" t="s">
        <v>412</v>
      </c>
      <c r="D84" s="392">
        <v>45000</v>
      </c>
      <c r="E84" s="424">
        <v>45000</v>
      </c>
      <c r="F84" s="394">
        <v>33300</v>
      </c>
      <c r="G84" s="394">
        <v>21600</v>
      </c>
      <c r="H84" s="394" t="s">
        <v>419</v>
      </c>
      <c r="I84" s="394">
        <v>15566.431491686042</v>
      </c>
      <c r="J84" s="359"/>
      <c r="K84" s="428">
        <f>A84</f>
        <v>60</v>
      </c>
      <c r="L84" s="430">
        <f>D84</f>
        <v>45000</v>
      </c>
      <c r="M84" s="430">
        <f>E84</f>
        <v>45000</v>
      </c>
      <c r="N84" s="427">
        <f>F84</f>
        <v>33300</v>
      </c>
      <c r="O84" s="427">
        <f>G84</f>
        <v>21600</v>
      </c>
      <c r="P84" s="427">
        <f>I84</f>
        <v>15566.431491686042</v>
      </c>
      <c r="R84">
        <f>SLOPE(L85:O85,L84:O84)</f>
        <v>5.6915716462015048E-5</v>
      </c>
      <c r="S84">
        <f>INTERCEPT(L85:O85,L84:O84)</f>
        <v>3.0890602878546907</v>
      </c>
      <c r="W84">
        <f>Calcs!C12</f>
        <v>7.5</v>
      </c>
      <c r="X84" s="7">
        <f>Calcs!I12</f>
        <v>34239.130434782608</v>
      </c>
      <c r="Y84" s="1">
        <f>IF(X84&gt;L106,L107,IF(X84&lt;O106,O107,X84*R106+S106))</f>
        <v>2.1298108032621781</v>
      </c>
      <c r="Z84" s="1">
        <f>Calcs!G12</f>
        <v>2.0609999999999999</v>
      </c>
    </row>
    <row r="85" spans="1:27">
      <c r="A85" s="370"/>
      <c r="B85" s="395"/>
      <c r="C85" s="384" t="s">
        <v>413</v>
      </c>
      <c r="D85" s="392">
        <v>2338</v>
      </c>
      <c r="E85" s="394">
        <v>2338</v>
      </c>
      <c r="F85" s="394">
        <v>1940.54</v>
      </c>
      <c r="G85" s="394">
        <v>1472.94</v>
      </c>
      <c r="H85" s="394" t="s">
        <v>419</v>
      </c>
      <c r="I85" s="394">
        <v>614.64368452077429</v>
      </c>
      <c r="J85" s="359"/>
      <c r="K85" s="428"/>
      <c r="L85" s="429">
        <f>D84/3.413/D85</f>
        <v>5.6393846604225732</v>
      </c>
      <c r="M85" s="429">
        <f>E84/3.413/E85</f>
        <v>5.6393846604225732</v>
      </c>
      <c r="N85" s="429">
        <f>F84/3.413/F85</f>
        <v>5.0278851189309695</v>
      </c>
      <c r="O85" s="429">
        <f>G84/3.413/G85</f>
        <v>4.2966740269886268</v>
      </c>
      <c r="P85" s="429">
        <f>I84/3.413/I85</f>
        <v>7.4204347878554477</v>
      </c>
      <c r="W85" s="184">
        <f>Calcs!C13</f>
        <v>12.5</v>
      </c>
      <c r="X85" s="7">
        <f>Calcs!I13</f>
        <v>30978.260869565216</v>
      </c>
      <c r="Y85" s="1">
        <f>IF(X85&gt;L104,L105,IF(X85&lt;O104,O105,X85*R104+S104))</f>
        <v>2.1922866866135506</v>
      </c>
      <c r="Z85" s="1">
        <f>Calcs!G13</f>
        <v>2.286</v>
      </c>
      <c r="AA85" s="184"/>
    </row>
    <row r="86" spans="1:27">
      <c r="A86" s="370">
        <v>55</v>
      </c>
      <c r="B86" s="395">
        <v>12.777777777777779</v>
      </c>
      <c r="C86" s="384" t="s">
        <v>400</v>
      </c>
      <c r="D86" s="392">
        <v>45000</v>
      </c>
      <c r="E86" s="424">
        <v>45000</v>
      </c>
      <c r="F86" s="394">
        <v>33300</v>
      </c>
      <c r="G86" s="394">
        <v>21600</v>
      </c>
      <c r="H86" s="394" t="s">
        <v>419</v>
      </c>
      <c r="I86" s="394">
        <v>14692.703841336215</v>
      </c>
      <c r="J86" s="359"/>
      <c r="K86" s="428">
        <f>A86</f>
        <v>55</v>
      </c>
      <c r="L86" s="430">
        <f>D86</f>
        <v>45000</v>
      </c>
      <c r="M86" s="430">
        <f>E86</f>
        <v>45000</v>
      </c>
      <c r="N86" s="427">
        <f>F86</f>
        <v>33300</v>
      </c>
      <c r="O86" s="427">
        <f>G86</f>
        <v>21600</v>
      </c>
      <c r="P86" s="427">
        <f>I86</f>
        <v>14692.703841336215</v>
      </c>
      <c r="R86" s="184">
        <f>SLOPE(L87:O87,L86:O86)</f>
        <v>5.1407743901174877E-5</v>
      </c>
      <c r="S86" s="184">
        <f>INTERCEPT(L87:O87,L86:O86)</f>
        <v>2.7901189696752047</v>
      </c>
      <c r="W86" s="184">
        <f>Calcs!C14</f>
        <v>17.5</v>
      </c>
      <c r="X86" s="7">
        <f>Calcs!I14</f>
        <v>27717.391304347824</v>
      </c>
      <c r="Y86" s="1">
        <f>IF(X86&gt;L102,L103,IF(X86&lt;O102,O103,X86*R102+S102))</f>
        <v>2.2971008877126233</v>
      </c>
      <c r="Z86" s="1">
        <f>Calcs!G14</f>
        <v>2.5110000000000001</v>
      </c>
      <c r="AA86" s="184"/>
    </row>
    <row r="87" spans="1:27">
      <c r="A87" s="370"/>
      <c r="B87" s="395"/>
      <c r="C87" s="384" t="s">
        <v>401</v>
      </c>
      <c r="D87" s="392">
        <v>2588.5</v>
      </c>
      <c r="E87" s="394">
        <v>2588.5</v>
      </c>
      <c r="F87" s="394">
        <v>2148.4549999999999</v>
      </c>
      <c r="G87" s="394">
        <v>1630.7550000000001</v>
      </c>
      <c r="H87" s="394" t="s">
        <v>419</v>
      </c>
      <c r="I87" s="394">
        <v>618.96393715376666</v>
      </c>
      <c r="J87" s="359"/>
      <c r="K87" s="428"/>
      <c r="L87" s="429">
        <f>D86/3.413/D87</f>
        <v>5.0936377578010337</v>
      </c>
      <c r="M87" s="429">
        <f>E86/3.413/E87</f>
        <v>5.0936377578010337</v>
      </c>
      <c r="N87" s="429">
        <f>F86/3.413/F87</f>
        <v>4.5413155912924887</v>
      </c>
      <c r="O87" s="429">
        <f>G86/3.413/G87</f>
        <v>3.8808668630865015</v>
      </c>
      <c r="P87" s="429">
        <f>I86/3.413/I87</f>
        <v>6.9550473344147772</v>
      </c>
      <c r="W87" s="184">
        <f>Calcs!C15</f>
        <v>22.5</v>
      </c>
      <c r="X87" s="7">
        <f>Calcs!I15</f>
        <v>24456.521739130432</v>
      </c>
      <c r="Y87" s="1">
        <f>IF(X87&gt;L100,L101,IF(X87&lt;O100,O101,X87*R100+S100))</f>
        <v>2.2905727852662534</v>
      </c>
      <c r="Z87" s="1">
        <f>Calcs!G15</f>
        <v>2.7175000000000002</v>
      </c>
      <c r="AA87" s="184"/>
    </row>
    <row r="88" spans="1:27">
      <c r="A88" s="370">
        <v>50</v>
      </c>
      <c r="B88" s="395">
        <v>10</v>
      </c>
      <c r="C88" s="384" t="s">
        <v>400</v>
      </c>
      <c r="D88" s="392">
        <v>45000</v>
      </c>
      <c r="E88" s="424">
        <v>45000</v>
      </c>
      <c r="F88" s="394">
        <v>33300</v>
      </c>
      <c r="G88" s="394">
        <v>21600</v>
      </c>
      <c r="H88" s="394" t="s">
        <v>419</v>
      </c>
      <c r="I88" s="394">
        <v>13828.51273357422</v>
      </c>
      <c r="J88" s="359"/>
      <c r="K88" s="428">
        <f>A88</f>
        <v>50</v>
      </c>
      <c r="L88" s="430">
        <f>D88</f>
        <v>45000</v>
      </c>
      <c r="M88" s="430">
        <f>E88</f>
        <v>45000</v>
      </c>
      <c r="N88" s="427">
        <f>F88</f>
        <v>33300</v>
      </c>
      <c r="O88" s="427">
        <f>G88</f>
        <v>21600</v>
      </c>
      <c r="P88" s="427">
        <f>I88</f>
        <v>13828.51273357422</v>
      </c>
      <c r="R88" s="184">
        <f>SLOPE(L89:O89,L88:O88)</f>
        <v>4.6871766498130001E-5</v>
      </c>
      <c r="S88" s="184">
        <f>INTERCEPT(L89:O89,L88:O88)</f>
        <v>2.5439320017626876</v>
      </c>
      <c r="W88" s="184">
        <f>Calcs!C16</f>
        <v>27.5</v>
      </c>
      <c r="X88" s="7">
        <f>Calcs!I16</f>
        <v>21195.652173913044</v>
      </c>
      <c r="Y88" s="1">
        <f>IF(X88&gt;L98,L99,IF(X88&lt;O98,O99,X88*R98+S98))</f>
        <v>2.3465598049864593</v>
      </c>
      <c r="Z88" s="1">
        <f>Calcs!G16</f>
        <v>2.9240000000000004</v>
      </c>
      <c r="AA88" s="184"/>
    </row>
    <row r="89" spans="1:27">
      <c r="A89" s="370"/>
      <c r="B89" s="395"/>
      <c r="C89" s="384" t="s">
        <v>401</v>
      </c>
      <c r="D89" s="392">
        <v>2839</v>
      </c>
      <c r="E89" s="394">
        <v>2839</v>
      </c>
      <c r="F89" s="394">
        <v>2356.37</v>
      </c>
      <c r="G89" s="394">
        <v>1788.57</v>
      </c>
      <c r="H89" s="394" t="s">
        <v>419</v>
      </c>
      <c r="I89" s="394">
        <v>620.58897176383084</v>
      </c>
      <c r="J89" s="359"/>
      <c r="K89" s="428"/>
      <c r="L89" s="429">
        <f>D88/3.413/D89</f>
        <v>4.644199132112707</v>
      </c>
      <c r="M89" s="429">
        <f>E88/3.413/E89</f>
        <v>4.644199132112707</v>
      </c>
      <c r="N89" s="429">
        <f>F88/3.413/F89</f>
        <v>4.1406112744137396</v>
      </c>
      <c r="O89" s="429">
        <f>G88/3.413/G89</f>
        <v>3.5384374339906342</v>
      </c>
      <c r="P89" s="429">
        <f>I88/3.413/I89</f>
        <v>6.5288265660951268</v>
      </c>
      <c r="W89" s="184">
        <f>Calcs!C17</f>
        <v>32.5</v>
      </c>
      <c r="X89" s="7">
        <f>Calcs!I17</f>
        <v>17934.782608695652</v>
      </c>
      <c r="Y89" s="1">
        <f>IF(X89&gt;L96,L97,IF(X89&lt;O96,O97,X89*R96+S96))</f>
        <v>2.406137455113631</v>
      </c>
      <c r="Z89" s="1">
        <f>Calcs!G17</f>
        <v>3.1305000000000005</v>
      </c>
      <c r="AA89" s="184"/>
    </row>
    <row r="90" spans="1:27">
      <c r="A90" s="370">
        <v>47</v>
      </c>
      <c r="B90" s="395">
        <v>8.3333333333333339</v>
      </c>
      <c r="C90" s="384" t="s">
        <v>400</v>
      </c>
      <c r="D90" s="392">
        <v>45000</v>
      </c>
      <c r="E90" s="424">
        <v>45000</v>
      </c>
      <c r="F90" s="394">
        <v>33300</v>
      </c>
      <c r="G90" s="394">
        <v>21600</v>
      </c>
      <c r="H90" s="394" t="s">
        <v>419</v>
      </c>
      <c r="I90" s="394">
        <v>13313.10678797551</v>
      </c>
      <c r="J90" s="359"/>
      <c r="K90" s="428">
        <f>A90</f>
        <v>47</v>
      </c>
      <c r="L90" s="430">
        <f>D90</f>
        <v>45000</v>
      </c>
      <c r="M90" s="430">
        <f>E90</f>
        <v>45000</v>
      </c>
      <c r="N90" s="427">
        <f>F90</f>
        <v>33300</v>
      </c>
      <c r="O90" s="427">
        <f>G90</f>
        <v>21600</v>
      </c>
      <c r="P90" s="427">
        <f>I90</f>
        <v>13313.10678797551</v>
      </c>
      <c r="R90" s="184">
        <f>SLOPE(L91:O91,L90:O90)</f>
        <v>4.4267779470456125E-5</v>
      </c>
      <c r="S90" s="184">
        <f>INTERCEPT(L91:O91,L90:O90)</f>
        <v>2.4026024461092037</v>
      </c>
      <c r="W90" s="184">
        <f>Calcs!C18</f>
        <v>37.5</v>
      </c>
      <c r="X90" s="7">
        <f>Calcs!I18</f>
        <v>14673.913043478262</v>
      </c>
      <c r="Y90" s="1">
        <f>IF(X90&gt;L94,L95,IF(X90&lt;O94,O95,X90*R94+S94))</f>
        <v>2.4506955561342538</v>
      </c>
      <c r="Z90" s="1">
        <f>Calcs!G18</f>
        <v>3.3370000000000006</v>
      </c>
      <c r="AA90" s="184"/>
    </row>
    <row r="91" spans="1:27">
      <c r="A91" s="370"/>
      <c r="B91" s="395"/>
      <c r="C91" s="384" t="s">
        <v>401</v>
      </c>
      <c r="D91" s="392">
        <v>3006</v>
      </c>
      <c r="E91" s="394">
        <v>3006</v>
      </c>
      <c r="F91" s="394">
        <v>2494.98</v>
      </c>
      <c r="G91" s="394">
        <v>1893.78</v>
      </c>
      <c r="H91" s="394" t="s">
        <v>419</v>
      </c>
      <c r="I91" s="394">
        <v>620.21771908811309</v>
      </c>
      <c r="J91" s="359"/>
      <c r="K91" s="428"/>
      <c r="L91" s="429">
        <f>D90/3.413/D91</f>
        <v>4.3861880692175568</v>
      </c>
      <c r="M91" s="429">
        <f>E90/3.413/E91</f>
        <v>4.3861880692175568</v>
      </c>
      <c r="N91" s="429">
        <f>F90/3.413/F91</f>
        <v>3.9105773147240872</v>
      </c>
      <c r="O91" s="429">
        <f>G90/3.413/G91</f>
        <v>3.34185757654671</v>
      </c>
      <c r="P91" s="429">
        <f>I90/3.413/I91</f>
        <v>6.2892514394223822</v>
      </c>
      <c r="W91" s="184">
        <f>Calcs!C19</f>
        <v>42.5</v>
      </c>
      <c r="X91" s="7">
        <f>Calcs!I19</f>
        <v>11413.04347826087</v>
      </c>
      <c r="Y91" s="1">
        <f>IF(X91&gt;L92,L93,IF(X91&lt;O92,O93,X91*R92+S92))</f>
        <v>3.0076718188920393</v>
      </c>
      <c r="Z91" s="1">
        <f>Calcs!G19</f>
        <v>3.5435000000000008</v>
      </c>
      <c r="AA91" s="184"/>
    </row>
    <row r="92" spans="1:27">
      <c r="A92" s="370">
        <v>42</v>
      </c>
      <c r="B92" s="395">
        <v>5.5555555555555554</v>
      </c>
      <c r="C92" s="384" t="s">
        <v>400</v>
      </c>
      <c r="D92" s="392">
        <v>45000</v>
      </c>
      <c r="E92" s="424">
        <v>45000</v>
      </c>
      <c r="F92" s="394">
        <v>33300</v>
      </c>
      <c r="G92" s="394">
        <v>21600</v>
      </c>
      <c r="H92" s="394" t="s">
        <v>419</v>
      </c>
      <c r="I92" s="394">
        <v>12497.772329922849</v>
      </c>
      <c r="J92" s="359"/>
      <c r="K92" s="428">
        <f>A92</f>
        <v>42</v>
      </c>
      <c r="L92" s="430">
        <f>D92</f>
        <v>45000</v>
      </c>
      <c r="M92" s="430">
        <f>E92</f>
        <v>45000</v>
      </c>
      <c r="N92" s="427">
        <f>F92</f>
        <v>33300</v>
      </c>
      <c r="O92" s="427">
        <f>G92</f>
        <v>21600</v>
      </c>
      <c r="P92" s="427">
        <f>I92</f>
        <v>12497.772329922849</v>
      </c>
      <c r="R92" s="184">
        <f>SLOPE(L93:O93,L92:O92)</f>
        <v>3.9841001523410501E-5</v>
      </c>
      <c r="S92" s="184">
        <f>INTERCEPT(L93:O93,L92:O92)</f>
        <v>2.1623422014982845</v>
      </c>
      <c r="W92" s="184">
        <f>Calcs!C20</f>
        <v>47.5</v>
      </c>
      <c r="X92" s="7">
        <f>Calcs!I20</f>
        <v>8152.173913043478</v>
      </c>
      <c r="Y92" s="1">
        <f>IF(X92&gt;L90,L91,IF(X92&lt;O90,O91,X92*R90+S90))</f>
        <v>3.34185757654671</v>
      </c>
      <c r="Z92" s="1">
        <f>Calcs!G20</f>
        <v>3.75</v>
      </c>
      <c r="AA92" s="184"/>
    </row>
    <row r="93" spans="1:27">
      <c r="A93" s="370"/>
      <c r="B93" s="395"/>
      <c r="C93" s="384" t="s">
        <v>401</v>
      </c>
      <c r="D93" s="392">
        <v>3340</v>
      </c>
      <c r="E93" s="394">
        <v>3340</v>
      </c>
      <c r="F93" s="394">
        <v>2772.2</v>
      </c>
      <c r="G93" s="394">
        <v>2104.1999999999998</v>
      </c>
      <c r="H93" s="394" t="s">
        <v>419</v>
      </c>
      <c r="I93" s="394">
        <v>617.47698887167905</v>
      </c>
      <c r="J93" s="359"/>
      <c r="K93" s="428"/>
      <c r="L93" s="429">
        <f>D92/3.413/D93</f>
        <v>3.9475692622958012</v>
      </c>
      <c r="M93" s="429">
        <f>E92/3.413/E93</f>
        <v>3.9475692622958012</v>
      </c>
      <c r="N93" s="429">
        <f>F92/3.413/F93</f>
        <v>3.5195195832516788</v>
      </c>
      <c r="O93" s="429">
        <f>G92/3.413/G93</f>
        <v>3.0076718188920393</v>
      </c>
      <c r="P93" s="429">
        <f>I92/3.413/I93</f>
        <v>5.9302846945432446</v>
      </c>
      <c r="W93" s="184">
        <f>Calcs!C21</f>
        <v>52.5</v>
      </c>
      <c r="X93" s="7">
        <f>Calcs!I21</f>
        <v>4891.304347826087</v>
      </c>
      <c r="Y93" s="1">
        <f>IF(X93&gt;L88,L89,IF(X93&lt;O88,O89,X93*R88+S88))</f>
        <v>3.5384374339906342</v>
      </c>
      <c r="Z93" s="1">
        <f>Calcs!G21</f>
        <v>3.75</v>
      </c>
      <c r="AA93" s="184"/>
    </row>
    <row r="94" spans="1:27">
      <c r="A94" s="370">
        <v>35</v>
      </c>
      <c r="B94" s="395">
        <v>1.6666666666666667</v>
      </c>
      <c r="C94" s="384" t="s">
        <v>400</v>
      </c>
      <c r="D94" s="392">
        <v>39600</v>
      </c>
      <c r="E94" s="424">
        <v>39600</v>
      </c>
      <c r="F94" s="394">
        <v>29304</v>
      </c>
      <c r="G94" s="394">
        <v>19008</v>
      </c>
      <c r="H94" s="394" t="s">
        <v>419</v>
      </c>
      <c r="I94" s="394">
        <v>12394.682725908531</v>
      </c>
      <c r="J94" s="359"/>
      <c r="K94" s="428">
        <f>A94</f>
        <v>35</v>
      </c>
      <c r="L94" s="430">
        <f>D94</f>
        <v>39600</v>
      </c>
      <c r="M94" s="430">
        <f>E94</f>
        <v>39600</v>
      </c>
      <c r="N94" s="427">
        <f>F94</f>
        <v>29304</v>
      </c>
      <c r="O94" s="427">
        <f>G94</f>
        <v>19008</v>
      </c>
      <c r="P94" s="427">
        <f>I94</f>
        <v>12394.682725908531</v>
      </c>
      <c r="R94" s="184">
        <f>SLOPE(L95:O95,L94:O94)</f>
        <v>3.6889816225380103E-5</v>
      </c>
      <c r="S94" s="184">
        <f>INTERCEPT(L95:O95,L94:O94)</f>
        <v>1.761908460480083</v>
      </c>
      <c r="W94" s="184">
        <f>Calcs!C22</f>
        <v>57.5</v>
      </c>
      <c r="X94" s="7">
        <f>Calcs!I22</f>
        <v>1630.4347826086957</v>
      </c>
      <c r="Y94" s="1">
        <f>IF(X94&gt;L86,L87,IF(X94&lt;O86,O87,X94*R86+S86))</f>
        <v>3.8808668630865015</v>
      </c>
      <c r="Z94" s="1">
        <f>Calcs!G22</f>
        <v>3.75</v>
      </c>
      <c r="AA94" s="184"/>
    </row>
    <row r="95" spans="1:27">
      <c r="A95" s="370"/>
      <c r="B95" s="395"/>
      <c r="C95" s="384" t="s">
        <v>401</v>
      </c>
      <c r="D95" s="392">
        <v>3607.2000000000003</v>
      </c>
      <c r="E95" s="394">
        <v>3607.2000000000003</v>
      </c>
      <c r="F95" s="394">
        <v>2993.9760000000001</v>
      </c>
      <c r="G95" s="394">
        <v>2272.5360000000001</v>
      </c>
      <c r="H95" s="394" t="s">
        <v>419</v>
      </c>
      <c r="I95" s="394">
        <v>849.42040906876025</v>
      </c>
      <c r="J95" s="359"/>
      <c r="K95" s="428"/>
      <c r="L95" s="429">
        <f>D94/3.413/D95</f>
        <v>3.2165379174262081</v>
      </c>
      <c r="M95" s="429">
        <f>E94/3.413/E95</f>
        <v>3.2165379174262081</v>
      </c>
      <c r="N95" s="429">
        <f>F94/3.413/F95</f>
        <v>2.8677566974643303</v>
      </c>
      <c r="O95" s="429">
        <f>G94/3.413/G95</f>
        <v>2.4506955561342538</v>
      </c>
      <c r="P95" s="429">
        <f>I94/3.413/I95</f>
        <v>4.2753968652441863</v>
      </c>
      <c r="W95" s="184">
        <f>Calcs!C23</f>
        <v>62.5</v>
      </c>
      <c r="X95" s="7">
        <f>Calcs!I23</f>
        <v>0</v>
      </c>
      <c r="Y95" s="1">
        <f>IF(X95&gt;L84,L85,IF(X95&lt;O84,O85,X95*R84+S84))</f>
        <v>4.2966740269886268</v>
      </c>
      <c r="Z95" s="1">
        <f>Calcs!G23</f>
        <v>3.75</v>
      </c>
      <c r="AA95" s="184"/>
    </row>
    <row r="96" spans="1:27">
      <c r="A96" s="370">
        <v>32</v>
      </c>
      <c r="B96" s="395">
        <v>0</v>
      </c>
      <c r="C96" s="384" t="s">
        <v>400</v>
      </c>
      <c r="D96" s="392">
        <v>39600</v>
      </c>
      <c r="E96" s="424">
        <v>39600</v>
      </c>
      <c r="F96" s="394">
        <v>29304</v>
      </c>
      <c r="G96" s="394">
        <v>19008</v>
      </c>
      <c r="H96" s="394" t="s">
        <v>419</v>
      </c>
      <c r="I96" s="394">
        <v>11723.192404764861</v>
      </c>
      <c r="J96" s="359"/>
      <c r="K96" s="428">
        <f>A96</f>
        <v>32</v>
      </c>
      <c r="L96" s="430">
        <f>D96</f>
        <v>39600</v>
      </c>
      <c r="M96" s="430">
        <f>E96</f>
        <v>39600</v>
      </c>
      <c r="N96" s="427">
        <f>F96</f>
        <v>29304</v>
      </c>
      <c r="O96" s="427">
        <f>G96</f>
        <v>19008</v>
      </c>
      <c r="P96" s="427">
        <f>I96</f>
        <v>11723.192404764861</v>
      </c>
      <c r="R96" s="184">
        <f>SLOPE(L97:O97,L96:O96)</f>
        <v>3.6219092294009566E-5</v>
      </c>
      <c r="S96" s="184">
        <f>INTERCEPT(L97:O97,L96:O96)</f>
        <v>1.7298737611986266</v>
      </c>
    </row>
    <row r="97" spans="1:19">
      <c r="A97" s="370"/>
      <c r="B97" s="395"/>
      <c r="C97" s="384" t="s">
        <v>401</v>
      </c>
      <c r="D97" s="392">
        <v>3674.0000000000005</v>
      </c>
      <c r="E97" s="394">
        <v>3674.0000000000005</v>
      </c>
      <c r="F97" s="394">
        <v>3049.42</v>
      </c>
      <c r="G97" s="394">
        <v>2314.6200000000003</v>
      </c>
      <c r="H97" s="394" t="s">
        <v>419</v>
      </c>
      <c r="I97" s="394">
        <v>838.31894024624194</v>
      </c>
      <c r="J97" s="359"/>
      <c r="K97" s="428"/>
      <c r="L97" s="429">
        <f>D96/3.413/D97</f>
        <v>3.1580554098366407</v>
      </c>
      <c r="M97" s="429">
        <f>E96/3.413/E97</f>
        <v>3.1580554098366407</v>
      </c>
      <c r="N97" s="429">
        <f>F96/3.413/F97</f>
        <v>2.8156156666013423</v>
      </c>
      <c r="O97" s="429">
        <f>G96/3.413/G97</f>
        <v>2.406137455113631</v>
      </c>
      <c r="P97" s="429">
        <f>I96/3.413/I97</f>
        <v>4.0973241756974073</v>
      </c>
    </row>
    <row r="98" spans="1:19">
      <c r="A98" s="370">
        <v>27</v>
      </c>
      <c r="B98" s="395">
        <v>-2.7777777777777777</v>
      </c>
      <c r="C98" s="384" t="s">
        <v>400</v>
      </c>
      <c r="D98" s="392">
        <v>40050</v>
      </c>
      <c r="E98" s="424">
        <v>40050</v>
      </c>
      <c r="F98" s="394">
        <v>29637</v>
      </c>
      <c r="G98" s="394">
        <v>19224</v>
      </c>
      <c r="H98" s="394" t="s">
        <v>419</v>
      </c>
      <c r="I98" s="394">
        <v>10790.7662367582</v>
      </c>
      <c r="J98" s="359"/>
      <c r="K98" s="428">
        <f>A98</f>
        <v>27</v>
      </c>
      <c r="L98" s="430">
        <f>D98</f>
        <v>40050</v>
      </c>
      <c r="M98" s="430">
        <f>E98</f>
        <v>40050</v>
      </c>
      <c r="N98" s="427">
        <f>F98</f>
        <v>29637</v>
      </c>
      <c r="O98" s="427">
        <f>G98</f>
        <v>19224</v>
      </c>
      <c r="P98" s="427">
        <f>I98</f>
        <v>10790.7662367582</v>
      </c>
      <c r="R98" s="184">
        <f>SLOPE(L99:O99,L98:O98)</f>
        <v>3.3763560613059767E-5</v>
      </c>
      <c r="S98" s="184">
        <f>INTERCEPT(L99:O99,L98:O98)</f>
        <v>1.6309191180792142</v>
      </c>
    </row>
    <row r="99" spans="1:19">
      <c r="A99" s="370"/>
      <c r="B99" s="395"/>
      <c r="C99" s="384" t="s">
        <v>401</v>
      </c>
      <c r="D99" s="392">
        <v>3941.2</v>
      </c>
      <c r="E99" s="394">
        <v>3941.2</v>
      </c>
      <c r="F99" s="394">
        <v>3271.1959999999999</v>
      </c>
      <c r="G99" s="394">
        <v>2482.9559999999997</v>
      </c>
      <c r="H99" s="394" t="s">
        <v>419</v>
      </c>
      <c r="I99" s="394">
        <v>808.04677742703075</v>
      </c>
      <c r="J99" s="359"/>
      <c r="K99" s="428"/>
      <c r="L99" s="429">
        <f>D98/3.413/D99</f>
        <v>2.9774039351214094</v>
      </c>
      <c r="M99" s="429">
        <f>E98/3.413/E99</f>
        <v>2.9774039351214094</v>
      </c>
      <c r="N99" s="429">
        <f>F98/3.413/F99</f>
        <v>2.6545529060118591</v>
      </c>
      <c r="O99" s="429">
        <f>G98/3.413/G99</f>
        <v>2.2684982362829786</v>
      </c>
      <c r="P99" s="429">
        <f>I98/3.413/I99</f>
        <v>3.9127265162086364</v>
      </c>
    </row>
    <row r="100" spans="1:19">
      <c r="A100" s="370">
        <v>22</v>
      </c>
      <c r="B100" s="395">
        <v>-5.5555555555555554</v>
      </c>
      <c r="C100" s="384" t="s">
        <v>400</v>
      </c>
      <c r="D100" s="392">
        <v>40500</v>
      </c>
      <c r="E100" s="424">
        <v>40500</v>
      </c>
      <c r="F100" s="394">
        <v>29970</v>
      </c>
      <c r="G100" s="394">
        <v>19440</v>
      </c>
      <c r="H100" s="394" t="s">
        <v>419</v>
      </c>
      <c r="I100" s="394">
        <v>10376.084778473865</v>
      </c>
      <c r="J100" s="359"/>
      <c r="K100" s="428">
        <f>A100</f>
        <v>22</v>
      </c>
      <c r="L100" s="430">
        <f>D100</f>
        <v>40500</v>
      </c>
      <c r="M100" s="430">
        <f>E100</f>
        <v>40500</v>
      </c>
      <c r="N100" s="427">
        <f>F100</f>
        <v>29970</v>
      </c>
      <c r="O100" s="427">
        <f>G100</f>
        <v>19440</v>
      </c>
      <c r="P100" s="427">
        <f>I100</f>
        <v>10376.084778473865</v>
      </c>
      <c r="R100" s="184">
        <f>SLOPE(L101:O101,L100:O100)</f>
        <v>3.124784433208669E-5</v>
      </c>
      <c r="S100" s="184">
        <f>INTERCEPT(L101:O101,L100:O100)</f>
        <v>1.5263592010576117</v>
      </c>
    </row>
    <row r="101" spans="1:19">
      <c r="A101" s="370"/>
      <c r="B101" s="395"/>
      <c r="C101" s="384" t="s">
        <v>401</v>
      </c>
      <c r="D101" s="392">
        <v>4258.5</v>
      </c>
      <c r="E101" s="394">
        <v>4258.5</v>
      </c>
      <c r="F101" s="394">
        <v>3534.5549999999998</v>
      </c>
      <c r="G101" s="394">
        <v>2682.855</v>
      </c>
      <c r="H101" s="394" t="s">
        <v>419</v>
      </c>
      <c r="I101" s="394">
        <v>769.93072498935715</v>
      </c>
      <c r="J101" s="359"/>
      <c r="K101" s="428"/>
      <c r="L101" s="429">
        <f>D100/3.413/D101</f>
        <v>2.7865194792676244</v>
      </c>
      <c r="M101" s="429">
        <f>E100/3.413/E101</f>
        <v>2.7865194792676244</v>
      </c>
      <c r="N101" s="429">
        <f>F100/3.413/F101</f>
        <v>2.4843667646482435</v>
      </c>
      <c r="O101" s="429">
        <f>G100/3.413/G101</f>
        <v>2.1230624603943804</v>
      </c>
      <c r="P101" s="429">
        <f>I100/3.413/I101</f>
        <v>3.9486221031711128</v>
      </c>
    </row>
    <row r="102" spans="1:19">
      <c r="A102" s="370">
        <v>17</v>
      </c>
      <c r="B102" s="395">
        <v>-8.3333333333333339</v>
      </c>
      <c r="C102" s="384" t="s">
        <v>400</v>
      </c>
      <c r="D102" s="392">
        <v>42750</v>
      </c>
      <c r="E102" s="424">
        <v>42750</v>
      </c>
      <c r="F102" s="394">
        <v>31635</v>
      </c>
      <c r="G102" s="394">
        <v>20520</v>
      </c>
      <c r="H102" s="394">
        <v>10260</v>
      </c>
      <c r="I102" s="394">
        <v>9690.1653343181843</v>
      </c>
      <c r="J102" s="359"/>
      <c r="K102" s="428">
        <f>A102</f>
        <v>17</v>
      </c>
      <c r="L102" s="430">
        <f>D102</f>
        <v>42750</v>
      </c>
      <c r="M102" s="430">
        <f>E102</f>
        <v>42750</v>
      </c>
      <c r="N102" s="427">
        <f>F102</f>
        <v>31635</v>
      </c>
      <c r="O102" s="427">
        <f>G102</f>
        <v>20520</v>
      </c>
      <c r="P102" s="427">
        <f>I102</f>
        <v>9690.1653343181843</v>
      </c>
      <c r="R102" s="184">
        <f>SLOPE(L103:O103,L102:O102)</f>
        <v>2.8975273835207649E-5</v>
      </c>
      <c r="S102" s="184">
        <f>INTERCEPT(L103:O103,L102:O102)</f>
        <v>1.4939818846715418</v>
      </c>
    </row>
    <row r="103" spans="1:19">
      <c r="A103" s="370"/>
      <c r="B103" s="395"/>
      <c r="C103" s="384" t="s">
        <v>401</v>
      </c>
      <c r="D103" s="392">
        <v>4592.5</v>
      </c>
      <c r="E103" s="394">
        <v>4592.5</v>
      </c>
      <c r="F103" s="394">
        <v>3811.7749999999996</v>
      </c>
      <c r="G103" s="394">
        <v>2893.2750000000001</v>
      </c>
      <c r="H103" s="394">
        <v>1928.85</v>
      </c>
      <c r="I103" s="394">
        <v>725.55616645688667</v>
      </c>
      <c r="J103" s="359"/>
      <c r="K103" s="428"/>
      <c r="L103" s="429">
        <f>D102/3.413/D103</f>
        <v>2.7274114903134627</v>
      </c>
      <c r="M103" s="429">
        <f>E102/3.413/E103</f>
        <v>2.7274114903134627</v>
      </c>
      <c r="N103" s="429">
        <f>F102/3.413/F103</f>
        <v>2.4316680757011597</v>
      </c>
      <c r="O103" s="429">
        <f>G102/3.413/G103</f>
        <v>2.0780278021435907</v>
      </c>
      <c r="P103" s="429">
        <f>I102/3.413/I103</f>
        <v>3.9131262629657826</v>
      </c>
    </row>
    <row r="104" spans="1:19">
      <c r="A104" s="370">
        <v>12</v>
      </c>
      <c r="B104" s="395">
        <v>-11.111111111111111</v>
      </c>
      <c r="C104" s="384" t="s">
        <v>400</v>
      </c>
      <c r="D104" s="392">
        <v>42750</v>
      </c>
      <c r="E104" s="424">
        <v>42750</v>
      </c>
      <c r="F104" s="394">
        <v>31635</v>
      </c>
      <c r="G104" s="394">
        <v>20520</v>
      </c>
      <c r="H104" s="394">
        <v>10260</v>
      </c>
      <c r="I104" s="394">
        <v>8412.3870982475346</v>
      </c>
      <c r="J104" s="359"/>
      <c r="K104" s="428">
        <f>A104</f>
        <v>12</v>
      </c>
      <c r="L104" s="430">
        <f>D104</f>
        <v>42750</v>
      </c>
      <c r="M104" s="430">
        <f>E104</f>
        <v>42750</v>
      </c>
      <c r="N104" s="427">
        <f>F104</f>
        <v>31635</v>
      </c>
      <c r="O104" s="427">
        <f>G104</f>
        <v>20520</v>
      </c>
      <c r="P104" s="427">
        <f>I104</f>
        <v>8412.3870982475346</v>
      </c>
      <c r="R104" s="184">
        <f>SLOPE(L105:O105,L104:O104)</f>
        <v>2.656066768227369E-5</v>
      </c>
      <c r="S104" s="184">
        <f>INTERCEPT(L105:O105,L104:O104)</f>
        <v>1.3694833942822462</v>
      </c>
    </row>
    <row r="105" spans="1:19">
      <c r="A105" s="370"/>
      <c r="B105" s="395"/>
      <c r="C105" s="384" t="s">
        <v>401</v>
      </c>
      <c r="D105" s="392">
        <v>5010</v>
      </c>
      <c r="E105" s="394">
        <v>5010</v>
      </c>
      <c r="F105" s="394">
        <v>4158.3</v>
      </c>
      <c r="G105" s="394">
        <v>3156.3</v>
      </c>
      <c r="H105" s="394">
        <v>2104.1999999999998</v>
      </c>
      <c r="I105" s="394">
        <v>671.37003105218105</v>
      </c>
      <c r="J105" s="359"/>
      <c r="K105" s="428"/>
      <c r="L105" s="429">
        <f>D104/3.413/D105</f>
        <v>2.5001271994540075</v>
      </c>
      <c r="M105" s="429">
        <f>E104/3.413/E105</f>
        <v>2.5001271994540075</v>
      </c>
      <c r="N105" s="429">
        <f>F104/3.413/F105</f>
        <v>2.2290290693927295</v>
      </c>
      <c r="O105" s="429">
        <f>G104/3.413/G105</f>
        <v>1.9048588186316247</v>
      </c>
      <c r="P105" s="429">
        <f>I104/3.413/I105</f>
        <v>3.6713095945890175</v>
      </c>
    </row>
    <row r="106" spans="1:19">
      <c r="A106" s="370">
        <v>5</v>
      </c>
      <c r="B106" s="395">
        <v>-15</v>
      </c>
      <c r="C106" s="384" t="s">
        <v>400</v>
      </c>
      <c r="D106" s="392">
        <v>42750</v>
      </c>
      <c r="E106" s="424">
        <v>42750</v>
      </c>
      <c r="F106" s="394">
        <v>31635</v>
      </c>
      <c r="G106" s="394">
        <v>20520</v>
      </c>
      <c r="H106" s="394">
        <v>10260</v>
      </c>
      <c r="I106" s="394">
        <v>6687.4890507920836</v>
      </c>
      <c r="J106" s="359"/>
      <c r="K106" s="428">
        <f>A106</f>
        <v>5</v>
      </c>
      <c r="L106" s="430">
        <f>D106</f>
        <v>42750</v>
      </c>
      <c r="M106" s="430">
        <f>E106</f>
        <v>42750</v>
      </c>
      <c r="N106" s="427">
        <f>F106</f>
        <v>31635</v>
      </c>
      <c r="O106" s="427">
        <f>G106</f>
        <v>20520</v>
      </c>
      <c r="P106" s="427">
        <f>I106</f>
        <v>6687.4890507920836</v>
      </c>
      <c r="R106" s="184">
        <f>SLOPE(L107:O107,L106:O106)</f>
        <v>2.4823053908667013E-5</v>
      </c>
      <c r="S106" s="184">
        <f>INTERCEPT(L107:O107,L106:O106)</f>
        <v>1.2798910226936879</v>
      </c>
    </row>
    <row r="107" spans="1:19">
      <c r="A107" s="370"/>
      <c r="B107" s="395"/>
      <c r="C107" s="384" t="s">
        <v>401</v>
      </c>
      <c r="D107" s="392">
        <v>5360.7</v>
      </c>
      <c r="E107" s="394">
        <v>5360.7</v>
      </c>
      <c r="F107" s="394">
        <v>4449.3809999999994</v>
      </c>
      <c r="G107" s="394">
        <v>3377.241</v>
      </c>
      <c r="H107" s="394">
        <v>2251.4939999999997</v>
      </c>
      <c r="I107" s="394">
        <v>581.5633243199436</v>
      </c>
      <c r="J107" s="359"/>
      <c r="K107" s="428"/>
      <c r="L107" s="429">
        <f>D106/3.413/D107</f>
        <v>2.3365674761252411</v>
      </c>
      <c r="M107" s="429">
        <f>E106/3.413/E107</f>
        <v>2.3365674761252411</v>
      </c>
      <c r="N107" s="429">
        <f>F106/3.413/F107</f>
        <v>2.083204737750215</v>
      </c>
      <c r="O107" s="429">
        <f>G106/3.413/G107</f>
        <v>1.7802418865716119</v>
      </c>
      <c r="P107" s="429">
        <f>I106/3.413/I107</f>
        <v>3.3692232216043339</v>
      </c>
    </row>
    <row r="108" spans="1:19">
      <c r="A108" s="370">
        <v>2</v>
      </c>
      <c r="B108" s="395">
        <v>-16.666666666666668</v>
      </c>
      <c r="C108" s="384" t="s">
        <v>400</v>
      </c>
      <c r="D108" s="392">
        <v>41040</v>
      </c>
      <c r="E108" s="394">
        <v>41040</v>
      </c>
      <c r="F108" s="394">
        <v>30369.599999999999</v>
      </c>
      <c r="G108" s="394">
        <v>19699.2</v>
      </c>
      <c r="H108" s="394">
        <v>9849.6</v>
      </c>
      <c r="I108" s="394">
        <v>5954.9688771248284</v>
      </c>
      <c r="J108" s="359"/>
      <c r="K108" s="428">
        <f>A108</f>
        <v>2</v>
      </c>
      <c r="L108" s="430">
        <f>D108</f>
        <v>41040</v>
      </c>
      <c r="M108" s="430">
        <f>E108</f>
        <v>41040</v>
      </c>
      <c r="N108" s="427">
        <f>F108</f>
        <v>30369.599999999999</v>
      </c>
      <c r="O108" s="427">
        <f>G108</f>
        <v>19699.2</v>
      </c>
      <c r="P108" s="427">
        <f>I108</f>
        <v>5954.9688771248284</v>
      </c>
      <c r="R108" s="184">
        <f>SLOPE(L109:O109,L108:O108)</f>
        <v>2.4900625952131564E-5</v>
      </c>
      <c r="S108" s="184">
        <f>INTERCEPT(L109:O109,L108:O108)</f>
        <v>1.2325350548540221</v>
      </c>
    </row>
    <row r="109" spans="1:19">
      <c r="A109" s="370"/>
      <c r="B109" s="395"/>
      <c r="C109" s="384" t="s">
        <v>401</v>
      </c>
      <c r="D109" s="392">
        <v>5344</v>
      </c>
      <c r="E109" s="394">
        <v>5344</v>
      </c>
      <c r="F109" s="394">
        <v>4435.5199999999995</v>
      </c>
      <c r="G109" s="394">
        <v>3366.72</v>
      </c>
      <c r="H109" s="394">
        <v>2244.48</v>
      </c>
      <c r="I109" s="394">
        <v>537.02612702646309</v>
      </c>
      <c r="J109" s="359"/>
      <c r="K109" s="428"/>
      <c r="L109" s="429">
        <f>D108/3.413/D109</f>
        <v>2.2501144795086065</v>
      </c>
      <c r="M109" s="429">
        <f>E108/3.413/E109</f>
        <v>2.2501144795086065</v>
      </c>
      <c r="N109" s="429">
        <f>F108/3.413/F109</f>
        <v>2.006126162453457</v>
      </c>
      <c r="O109" s="429">
        <f>G108/3.413/G109</f>
        <v>1.7143729367684624</v>
      </c>
      <c r="P109" s="429">
        <f>I108/3.413/I109</f>
        <v>3.2489856453483048</v>
      </c>
    </row>
    <row r="110" spans="1:19">
      <c r="A110" s="370">
        <v>-3</v>
      </c>
      <c r="B110" s="395">
        <v>-19.444444444444443</v>
      </c>
      <c r="C110" s="384" t="s">
        <v>400</v>
      </c>
      <c r="D110" s="392">
        <v>37620</v>
      </c>
      <c r="E110" s="394">
        <v>37620</v>
      </c>
      <c r="F110" s="394">
        <v>27838.799999999999</v>
      </c>
      <c r="G110" s="394">
        <v>18057.599999999999</v>
      </c>
      <c r="H110" s="394">
        <v>9028.7999999999993</v>
      </c>
      <c r="I110" s="394">
        <v>5129.0891044784621</v>
      </c>
      <c r="J110" s="359"/>
      <c r="K110" s="428">
        <f>A110</f>
        <v>-3</v>
      </c>
      <c r="L110" s="430">
        <f>D110</f>
        <v>37620</v>
      </c>
      <c r="M110" s="430">
        <f>E110</f>
        <v>37620</v>
      </c>
      <c r="N110" s="427">
        <f>F110</f>
        <v>27838.799999999999</v>
      </c>
      <c r="O110" s="427">
        <f>G110</f>
        <v>18057.599999999999</v>
      </c>
      <c r="P110" s="427">
        <f>I110</f>
        <v>5129.0891044784621</v>
      </c>
      <c r="R110" s="184">
        <f>SLOPE(L111:O111,L110:O110)</f>
        <v>2.6125246900597066E-5</v>
      </c>
      <c r="S110" s="184">
        <f>INTERCEPT(L111:O111,L110:O110)</f>
        <v>1.185388905214797</v>
      </c>
    </row>
    <row r="111" spans="1:19">
      <c r="A111" s="370"/>
      <c r="B111" s="395"/>
      <c r="C111" s="384" t="s">
        <v>401</v>
      </c>
      <c r="D111" s="392">
        <v>5093.5</v>
      </c>
      <c r="E111" s="394">
        <v>5093.5</v>
      </c>
      <c r="F111" s="394">
        <v>4227.6049999999996</v>
      </c>
      <c r="G111" s="394">
        <v>3208.9050000000002</v>
      </c>
      <c r="H111" s="394">
        <v>2139.27</v>
      </c>
      <c r="I111" s="394">
        <v>482.25479992933191</v>
      </c>
      <c r="J111" s="359"/>
      <c r="K111" s="428"/>
      <c r="L111" s="429">
        <f>D110/3.413/D111</f>
        <v>2.1640445267405179</v>
      </c>
      <c r="M111" s="429">
        <f>E110/3.413/E111</f>
        <v>2.1640445267405179</v>
      </c>
      <c r="N111" s="429">
        <f>F110/3.413/F111</f>
        <v>1.9293890961301003</v>
      </c>
      <c r="O111" s="429">
        <f>G110/3.413/G111</f>
        <v>1.6487958298975374</v>
      </c>
      <c r="P111" s="429">
        <f>I110/3.413/I111</f>
        <v>3.1162148775837282</v>
      </c>
    </row>
    <row r="112" spans="1:19">
      <c r="A112" s="370">
        <v>-8</v>
      </c>
      <c r="B112" s="395">
        <v>-22.222222222222221</v>
      </c>
      <c r="C112" s="384" t="s">
        <v>400</v>
      </c>
      <c r="D112" s="392">
        <v>35055</v>
      </c>
      <c r="E112" s="394">
        <v>35055</v>
      </c>
      <c r="F112" s="394">
        <v>25940.7</v>
      </c>
      <c r="G112" s="394">
        <v>16826.399999999998</v>
      </c>
      <c r="H112" s="394">
        <v>8413.1999999999989</v>
      </c>
      <c r="I112" s="394">
        <v>3906.7634255350272</v>
      </c>
      <c r="J112" s="359"/>
      <c r="K112" s="428">
        <f>A112</f>
        <v>-8</v>
      </c>
      <c r="L112" s="430">
        <f>D112</f>
        <v>35055</v>
      </c>
      <c r="M112" s="430">
        <f>E112</f>
        <v>35055</v>
      </c>
      <c r="N112" s="427">
        <f>F112</f>
        <v>25940.7</v>
      </c>
      <c r="O112" s="427">
        <f>G112</f>
        <v>16826.399999999998</v>
      </c>
      <c r="P112" s="427">
        <f>I112</f>
        <v>3906.7634255350272</v>
      </c>
      <c r="R112" s="184">
        <f>SLOPE(L113:O113,L112:O112)</f>
        <v>2.7476552774765888E-5</v>
      </c>
      <c r="S112" s="184">
        <f>INTERCEPT(L113:O113,L112:O112)</f>
        <v>1.1616997068739052</v>
      </c>
    </row>
    <row r="113" spans="1:19">
      <c r="A113" s="370"/>
      <c r="B113" s="395"/>
      <c r="C113" s="384" t="s">
        <v>401</v>
      </c>
      <c r="D113" s="392">
        <v>4843</v>
      </c>
      <c r="E113" s="394">
        <v>4843</v>
      </c>
      <c r="F113" s="394">
        <v>4019.6899999999996</v>
      </c>
      <c r="G113" s="394">
        <v>3051.09</v>
      </c>
      <c r="H113" s="394">
        <v>2034.06</v>
      </c>
      <c r="I113" s="394">
        <v>384.12841111720178</v>
      </c>
      <c r="J113" s="359"/>
      <c r="K113" s="428"/>
      <c r="L113" s="429">
        <f>D112/3.413/D113</f>
        <v>2.1207975553989167</v>
      </c>
      <c r="M113" s="429">
        <f>E112/3.413/E113</f>
        <v>2.1207975553989167</v>
      </c>
      <c r="N113" s="429">
        <f>F112/3.413/F113</f>
        <v>1.8908315554159019</v>
      </c>
      <c r="O113" s="429">
        <f>G112/3.413/G113</f>
        <v>1.6158457564944124</v>
      </c>
      <c r="P113" s="429">
        <f>I112/3.413/I113</f>
        <v>2.9799185598122198</v>
      </c>
    </row>
    <row r="114" spans="1:19">
      <c r="A114" s="398">
        <v>-13</v>
      </c>
      <c r="B114" s="399">
        <v>-25</v>
      </c>
      <c r="C114" s="384" t="s">
        <v>400</v>
      </c>
      <c r="D114" s="392">
        <v>32062.5</v>
      </c>
      <c r="E114" s="394">
        <v>32062.5</v>
      </c>
      <c r="F114" s="394">
        <v>23726.25</v>
      </c>
      <c r="G114" s="394">
        <v>15390</v>
      </c>
      <c r="H114" s="394">
        <v>7695</v>
      </c>
      <c r="I114" s="394">
        <v>2715.6126654123223</v>
      </c>
      <c r="J114" s="359"/>
      <c r="K114" s="428">
        <f>A114</f>
        <v>-13</v>
      </c>
      <c r="L114" s="430">
        <f>D114</f>
        <v>32062.5</v>
      </c>
      <c r="M114" s="430">
        <f>E114</f>
        <v>32062.5</v>
      </c>
      <c r="N114" s="427">
        <f>F114</f>
        <v>23726.25</v>
      </c>
      <c r="O114" s="427">
        <f>G114</f>
        <v>15390</v>
      </c>
      <c r="P114" s="427">
        <f>I114</f>
        <v>2715.6126654123223</v>
      </c>
      <c r="R114" s="184">
        <f>SLOPE(L115:O115,L114:O114)</f>
        <v>2.8457858231007504E-5</v>
      </c>
      <c r="S114" s="184">
        <f>INTERCEPT(L115:O115,L114:O114)</f>
        <v>1.1004777275482343</v>
      </c>
    </row>
    <row r="115" spans="1:19">
      <c r="A115" s="376"/>
      <c r="B115" s="425"/>
      <c r="C115" s="426" t="s">
        <v>401</v>
      </c>
      <c r="D115" s="392">
        <v>4676</v>
      </c>
      <c r="E115" s="394">
        <v>4676</v>
      </c>
      <c r="F115" s="394">
        <v>3881.08</v>
      </c>
      <c r="G115" s="394">
        <v>2945.88</v>
      </c>
      <c r="H115" s="394">
        <v>1963.9199999999998</v>
      </c>
      <c r="I115" s="394">
        <v>275.40548959920329</v>
      </c>
      <c r="J115" s="359"/>
      <c r="K115" s="428"/>
      <c r="L115" s="429">
        <f>D114/3.413/D115</f>
        <v>2.0090307852755416</v>
      </c>
      <c r="M115" s="429">
        <f>E114/3.413/E115</f>
        <v>2.0090307852755416</v>
      </c>
      <c r="N115" s="429">
        <f>F114/3.413/F115</f>
        <v>1.7911840736191578</v>
      </c>
      <c r="O115" s="429">
        <f>G114/3.413/G115</f>
        <v>1.5306901221146985</v>
      </c>
      <c r="P115" s="429">
        <f>I114/3.413/I115</f>
        <v>2.8890758536352812</v>
      </c>
    </row>
  </sheetData>
  <mergeCells count="3">
    <mergeCell ref="D8:I8"/>
    <mergeCell ref="J8:L8"/>
    <mergeCell ref="D77:I7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V93"/>
  <sheetViews>
    <sheetView zoomScale="70" zoomScaleNormal="70" workbookViewId="0">
      <pane xSplit="3" ySplit="4" topLeftCell="G5" activePane="bottomRight" state="frozen"/>
      <selection activeCell="R11" sqref="R11:S18"/>
      <selection pane="topRight" activeCell="R11" sqref="R11:S18"/>
      <selection pane="bottomLeft" activeCell="R11" sqref="R11:S18"/>
      <selection pane="bottomRight" activeCell="T25" sqref="T25"/>
    </sheetView>
  </sheetViews>
  <sheetFormatPr defaultRowHeight="14.5"/>
  <cols>
    <col min="1" max="1" width="13.26953125" customWidth="1"/>
    <col min="5" max="6" width="9.1796875" customWidth="1"/>
    <col min="9" max="9" width="13.54296875" customWidth="1"/>
    <col min="10" max="11" width="9.7265625" customWidth="1"/>
    <col min="13" max="13" width="9.7265625" bestFit="1" customWidth="1"/>
    <col min="14" max="14" width="10.7265625" customWidth="1"/>
    <col min="15" max="15" width="10.26953125" bestFit="1" customWidth="1"/>
    <col min="16" max="17" width="10.26953125" customWidth="1"/>
    <col min="18" max="18" width="8.26953125" bestFit="1" customWidth="1"/>
    <col min="19" max="19" width="8.453125" bestFit="1" customWidth="1"/>
    <col min="23" max="23" width="11.81640625" customWidth="1"/>
    <col min="24" max="25" width="11" customWidth="1"/>
    <col min="26" max="26" width="10.453125" customWidth="1"/>
    <col min="27" max="27" width="9.54296875" bestFit="1" customWidth="1"/>
    <col min="30" max="30" width="10.26953125" bestFit="1" customWidth="1"/>
  </cols>
  <sheetData>
    <row r="1" spans="1:48">
      <c r="C1" t="s">
        <v>46</v>
      </c>
      <c r="D1" t="s">
        <v>47</v>
      </c>
    </row>
    <row r="2" spans="1:48">
      <c r="B2" s="10" t="s">
        <v>17</v>
      </c>
      <c r="C2">
        <f>HLOOKUP(Local,weather,32,FALSE)</f>
        <v>86</v>
      </c>
      <c r="D2">
        <v>72</v>
      </c>
      <c r="H2" s="10"/>
      <c r="I2" s="10"/>
      <c r="J2" s="10"/>
    </row>
    <row r="3" spans="1:48">
      <c r="B3" s="10" t="s">
        <v>16</v>
      </c>
      <c r="C3">
        <f>HLOOKUP(Local,weather,33,FALSE)</f>
        <v>4</v>
      </c>
      <c r="D3">
        <v>68</v>
      </c>
      <c r="F3" s="193" t="s">
        <v>20</v>
      </c>
      <c r="G3" s="194"/>
      <c r="H3" s="194"/>
      <c r="I3" s="194"/>
      <c r="J3" s="194"/>
      <c r="K3" s="195"/>
      <c r="L3" s="312" t="s">
        <v>22</v>
      </c>
      <c r="M3" s="313"/>
      <c r="N3" s="313"/>
      <c r="O3" s="313"/>
      <c r="P3" s="314"/>
      <c r="W3" s="471"/>
      <c r="X3" s="471"/>
      <c r="Y3" s="471"/>
      <c r="Z3" s="471"/>
      <c r="AA3" s="115"/>
      <c r="AB3" s="471"/>
      <c r="AC3" s="471"/>
      <c r="AD3" s="115"/>
      <c r="AE3" s="471"/>
      <c r="AF3" s="471"/>
      <c r="AG3" s="471"/>
      <c r="AH3" s="471"/>
      <c r="AI3" s="471"/>
      <c r="AJ3" s="471"/>
      <c r="AK3" s="471"/>
      <c r="AL3" s="471"/>
      <c r="AM3" s="471"/>
      <c r="AN3" s="471"/>
      <c r="AO3" s="471"/>
      <c r="AP3" s="471"/>
      <c r="AQ3" s="471"/>
      <c r="AR3" s="471"/>
      <c r="AS3" s="471"/>
      <c r="AT3" s="471"/>
      <c r="AU3" s="471"/>
      <c r="AV3" s="471"/>
    </row>
    <row r="4" spans="1:48">
      <c r="A4" s="476" t="s">
        <v>1</v>
      </c>
      <c r="B4" s="476"/>
      <c r="C4" s="9" t="s">
        <v>52</v>
      </c>
      <c r="D4" s="9" t="s">
        <v>2</v>
      </c>
      <c r="E4" s="9" t="s">
        <v>63</v>
      </c>
      <c r="F4" s="9" t="s">
        <v>137</v>
      </c>
      <c r="G4" s="19" t="s">
        <v>7</v>
      </c>
      <c r="H4" s="19" t="s">
        <v>21</v>
      </c>
      <c r="I4" s="19" t="s">
        <v>50</v>
      </c>
      <c r="J4" s="192" t="s">
        <v>278</v>
      </c>
      <c r="K4" s="19" t="s">
        <v>5</v>
      </c>
      <c r="L4" s="19" t="s">
        <v>7</v>
      </c>
      <c r="M4" s="19" t="s">
        <v>21</v>
      </c>
      <c r="N4" s="19" t="s">
        <v>50</v>
      </c>
      <c r="O4" s="192" t="s">
        <v>278</v>
      </c>
      <c r="P4" s="19" t="s">
        <v>5</v>
      </c>
      <c r="V4" s="130" t="s">
        <v>100</v>
      </c>
      <c r="W4" s="130"/>
      <c r="X4" s="130"/>
      <c r="Y4" s="127"/>
      <c r="Z4" s="131">
        <f>INDEX(totals,MATCH(exist_heat,type,0),MATCH("Cost ($)",total_value,0))</f>
        <v>3526.2236933468944</v>
      </c>
    </row>
    <row r="5" spans="1:48">
      <c r="A5" s="27">
        <v>-30</v>
      </c>
      <c r="B5" s="27">
        <v>-25</v>
      </c>
      <c r="C5" s="21">
        <f t="shared" ref="C5:C8" si="0">(A5+B5)/2</f>
        <v>-27.5</v>
      </c>
      <c r="D5" s="20">
        <f t="shared" ref="D5:D34" si="1">HLOOKUP(Local,weather,MATCH(C5,binavg,0),FALSE)</f>
        <v>0</v>
      </c>
      <c r="E5" s="36">
        <f t="shared" ref="E5:E8" si="2">D5*H5</f>
        <v>0</v>
      </c>
      <c r="F5">
        <v>1</v>
      </c>
      <c r="G5" s="144">
        <f t="shared" ref="G5:G10" si="3">G6*0.95</f>
        <v>1.4392731672492185</v>
      </c>
      <c r="H5" s="254">
        <f>IF(($D$3-C5)&lt;5,0,IF(($D$3-C5)&gt;=($D$3-$C$3),1,MAX(0,MIN(1,(($D$3-8)-C5)/($D$3-($C$3-5))))))</f>
        <v>1</v>
      </c>
      <c r="I5" s="23">
        <f t="shared" ref="I5:I8" si="4">H5*heat_load</f>
        <v>45000</v>
      </c>
      <c r="J5" s="23">
        <f t="shared" ref="J5:J34" si="5">I5*D5*F5/1000</f>
        <v>0</v>
      </c>
      <c r="K5" s="23">
        <f t="shared" ref="K5:K16" si="6">IF(AND($AA$30="yes",B5&lt;=$AA$31),0,J5/3.412/G5+$S$18*D5*H5)</f>
        <v>0</v>
      </c>
      <c r="L5" s="22">
        <f t="shared" ref="L5:L8" si="7">cop_seer</f>
        <v>5.539273153575615</v>
      </c>
      <c r="M5" s="255">
        <f t="shared" ref="M5:M34" si="8">IF($C$2&lt;C5,1,MAX(0,MIN(1,(C5-($D$2-6))/(($C$2-3)-$D$2))))</f>
        <v>0</v>
      </c>
      <c r="N5" s="23">
        <f t="shared" ref="N5:N8" si="9">M5*cool_load</f>
        <v>0</v>
      </c>
      <c r="O5" s="256">
        <f t="shared" ref="O5:O34" si="10">N5*D5/1000</f>
        <v>0</v>
      </c>
      <c r="P5" s="23">
        <f t="shared" ref="P5:P8" si="11">O5/3.412/L5/(1-$B$42)</f>
        <v>0</v>
      </c>
      <c r="V5" s="132" t="s">
        <v>101</v>
      </c>
      <c r="W5" s="132"/>
      <c r="X5" s="30"/>
      <c r="Z5" s="133">
        <f>INDEX(totals,MATCH(exist_heat,type,0),MATCH("Heat $",total_value,0))</f>
        <v>2861.6589206196218</v>
      </c>
    </row>
    <row r="6" spans="1:48">
      <c r="A6" s="27">
        <v>-25</v>
      </c>
      <c r="B6" s="27">
        <v>-20</v>
      </c>
      <c r="C6" s="21">
        <f t="shared" si="0"/>
        <v>-22.5</v>
      </c>
      <c r="D6" s="21">
        <f t="shared" si="1"/>
        <v>0</v>
      </c>
      <c r="E6" s="36">
        <f t="shared" si="2"/>
        <v>0</v>
      </c>
      <c r="F6">
        <v>1</v>
      </c>
      <c r="G6" s="144">
        <f t="shared" si="3"/>
        <v>1.5150243865781248</v>
      </c>
      <c r="H6" s="254">
        <f t="shared" ref="H6:H34" si="12">IF(($D$3-C6)&lt;5,0,IF(($D$3-C6)&gt;=($D$3-$C$3),1,MAX(0,MIN(1,(($D$3-8)-C6)/($D$3-($C$3-5))))))</f>
        <v>1</v>
      </c>
      <c r="I6" s="23">
        <f t="shared" si="4"/>
        <v>45000</v>
      </c>
      <c r="J6" s="23">
        <f t="shared" si="5"/>
        <v>0</v>
      </c>
      <c r="K6" s="23">
        <f t="shared" si="6"/>
        <v>0</v>
      </c>
      <c r="L6" s="22">
        <f t="shared" si="7"/>
        <v>5.539273153575615</v>
      </c>
      <c r="M6" s="254">
        <f t="shared" si="8"/>
        <v>0</v>
      </c>
      <c r="N6" s="23">
        <f t="shared" si="9"/>
        <v>0</v>
      </c>
      <c r="O6" s="256">
        <f t="shared" si="10"/>
        <v>0</v>
      </c>
      <c r="P6" s="23">
        <f t="shared" si="11"/>
        <v>0</v>
      </c>
      <c r="V6" s="132" t="s">
        <v>102</v>
      </c>
      <c r="W6" s="132"/>
      <c r="X6" s="30"/>
      <c r="Z6" s="133">
        <f>INDEX(totals,MATCH(exist_heat,type,0),MATCH("Cool $",total_value,0))</f>
        <v>664.56477272727273</v>
      </c>
    </row>
    <row r="7" spans="1:48">
      <c r="A7" s="27">
        <v>-20</v>
      </c>
      <c r="B7" s="27">
        <v>-15</v>
      </c>
      <c r="C7" s="21">
        <f t="shared" si="0"/>
        <v>-17.5</v>
      </c>
      <c r="D7" s="21">
        <f t="shared" si="1"/>
        <v>0</v>
      </c>
      <c r="E7" s="36">
        <f t="shared" si="2"/>
        <v>0</v>
      </c>
      <c r="F7">
        <v>1</v>
      </c>
      <c r="G7" s="144">
        <f t="shared" si="3"/>
        <v>1.5947625121874998</v>
      </c>
      <c r="H7" s="254">
        <f t="shared" si="12"/>
        <v>1</v>
      </c>
      <c r="I7" s="23">
        <f t="shared" si="4"/>
        <v>45000</v>
      </c>
      <c r="J7" s="23">
        <f t="shared" si="5"/>
        <v>0</v>
      </c>
      <c r="K7" s="23">
        <f t="shared" si="6"/>
        <v>0</v>
      </c>
      <c r="L7" s="22">
        <f t="shared" si="7"/>
        <v>5.539273153575615</v>
      </c>
      <c r="M7" s="254">
        <f t="shared" si="8"/>
        <v>0</v>
      </c>
      <c r="N7" s="23">
        <f t="shared" si="9"/>
        <v>0</v>
      </c>
      <c r="O7" s="256">
        <f t="shared" si="10"/>
        <v>0</v>
      </c>
      <c r="P7" s="23">
        <f t="shared" si="11"/>
        <v>0</v>
      </c>
      <c r="R7" t="s">
        <v>346</v>
      </c>
      <c r="V7" s="130" t="s">
        <v>99</v>
      </c>
      <c r="W7" s="130"/>
      <c r="X7" s="130"/>
      <c r="Y7" s="127"/>
      <c r="Z7" s="134">
        <f>INDEX(totals,MATCH(exist_heat,type,0),MATCH("tot mbtu",total_value,0))</f>
        <v>68105.742592885363</v>
      </c>
    </row>
    <row r="8" spans="1:48">
      <c r="A8" s="27">
        <v>-15</v>
      </c>
      <c r="B8" s="27">
        <v>-10</v>
      </c>
      <c r="C8" s="21">
        <f t="shared" si="0"/>
        <v>-12.5</v>
      </c>
      <c r="D8" s="21">
        <f t="shared" si="1"/>
        <v>0</v>
      </c>
      <c r="E8" s="36">
        <f t="shared" si="2"/>
        <v>0</v>
      </c>
      <c r="F8">
        <v>1</v>
      </c>
      <c r="G8" s="144">
        <f t="shared" si="3"/>
        <v>1.6786973812499999</v>
      </c>
      <c r="H8" s="254">
        <f t="shared" si="12"/>
        <v>1</v>
      </c>
      <c r="I8" s="23">
        <f t="shared" si="4"/>
        <v>45000</v>
      </c>
      <c r="J8" s="23">
        <f t="shared" si="5"/>
        <v>0</v>
      </c>
      <c r="K8" s="23">
        <f t="shared" si="6"/>
        <v>0</v>
      </c>
      <c r="L8" s="22">
        <f t="shared" si="7"/>
        <v>5.539273153575615</v>
      </c>
      <c r="M8" s="254">
        <f t="shared" si="8"/>
        <v>0</v>
      </c>
      <c r="N8" s="23">
        <f t="shared" si="9"/>
        <v>0</v>
      </c>
      <c r="O8" s="256">
        <f t="shared" si="10"/>
        <v>0</v>
      </c>
      <c r="P8" s="23">
        <f t="shared" si="11"/>
        <v>0</v>
      </c>
      <c r="V8" s="132" t="s">
        <v>112</v>
      </c>
      <c r="W8" s="135"/>
      <c r="X8" s="30"/>
      <c r="Z8" s="136">
        <f>INDEX(totals,MATCH(exist_heat,type,0),MATCH("kwh",total_value,0))</f>
        <v>20742.492313805258</v>
      </c>
    </row>
    <row r="9" spans="1:48">
      <c r="A9" s="21">
        <v>-10</v>
      </c>
      <c r="B9" s="21">
        <v>-5</v>
      </c>
      <c r="C9" s="21">
        <f>(A9+B9)/2</f>
        <v>-7.5</v>
      </c>
      <c r="D9" s="21">
        <f t="shared" si="1"/>
        <v>0</v>
      </c>
      <c r="E9" s="36">
        <f>D9*H9</f>
        <v>0</v>
      </c>
      <c r="F9">
        <v>1</v>
      </c>
      <c r="G9" s="144">
        <f t="shared" si="3"/>
        <v>1.7670498749999999</v>
      </c>
      <c r="H9" s="254">
        <f t="shared" si="12"/>
        <v>1</v>
      </c>
      <c r="I9" s="23">
        <f t="shared" ref="I9:I30" si="13">H9*heat_load</f>
        <v>45000</v>
      </c>
      <c r="J9" s="23">
        <f t="shared" si="5"/>
        <v>0</v>
      </c>
      <c r="K9" s="23">
        <f t="shared" si="6"/>
        <v>0</v>
      </c>
      <c r="L9" s="22">
        <f t="shared" ref="L9:L26" si="14">cop_seer</f>
        <v>5.539273153575615</v>
      </c>
      <c r="M9" s="254">
        <f t="shared" si="8"/>
        <v>0</v>
      </c>
      <c r="N9" s="23">
        <f t="shared" ref="N9:N30" si="15">M9*cool_load</f>
        <v>0</v>
      </c>
      <c r="O9" s="256">
        <f t="shared" si="10"/>
        <v>0</v>
      </c>
      <c r="P9" s="23">
        <f t="shared" ref="P9:P30" si="16">O9/3.412/L9/(1-$B$42)</f>
        <v>0</v>
      </c>
      <c r="V9" s="132" t="s">
        <v>113</v>
      </c>
      <c r="W9" s="132"/>
      <c r="X9" s="30"/>
      <c r="Z9" s="136">
        <f>INDEX(totals,MATCH(exist_heat,type,0),MATCH("heat kwh",total_value,0))</f>
        <v>16833.287768350714</v>
      </c>
    </row>
    <row r="10" spans="1:48">
      <c r="A10" s="21">
        <v>-5</v>
      </c>
      <c r="B10" s="21">
        <v>0</v>
      </c>
      <c r="C10" s="21">
        <f t="shared" ref="C10:C34" si="17">(A10+B10)/2</f>
        <v>-2.5</v>
      </c>
      <c r="D10" s="21">
        <f t="shared" si="1"/>
        <v>1</v>
      </c>
      <c r="E10" s="36">
        <f t="shared" ref="E10:E34" si="18">D10*H10</f>
        <v>1</v>
      </c>
      <c r="F10">
        <v>1</v>
      </c>
      <c r="G10" s="144">
        <f t="shared" si="3"/>
        <v>1.8600524999999999</v>
      </c>
      <c r="H10" s="254">
        <f t="shared" si="12"/>
        <v>1</v>
      </c>
      <c r="I10" s="23">
        <f t="shared" si="13"/>
        <v>45000</v>
      </c>
      <c r="J10" s="23">
        <f t="shared" si="5"/>
        <v>45</v>
      </c>
      <c r="K10" s="23">
        <f t="shared" si="6"/>
        <v>7.2405233071386252</v>
      </c>
      <c r="L10" s="22">
        <f t="shared" si="14"/>
        <v>5.539273153575615</v>
      </c>
      <c r="M10" s="254">
        <f t="shared" si="8"/>
        <v>0</v>
      </c>
      <c r="N10" s="23">
        <f t="shared" si="15"/>
        <v>0</v>
      </c>
      <c r="O10" s="256">
        <f t="shared" si="10"/>
        <v>0</v>
      </c>
      <c r="P10" s="23">
        <f t="shared" si="16"/>
        <v>0</v>
      </c>
      <c r="V10" s="132" t="s">
        <v>114</v>
      </c>
      <c r="W10" s="132"/>
      <c r="X10" s="30"/>
      <c r="Z10" s="136">
        <f>INDEX(totals,MATCH(exist_heat,type,0),MATCH("Cool kwh",total_value,0))</f>
        <v>3909.204545454545</v>
      </c>
    </row>
    <row r="11" spans="1:48">
      <c r="A11" s="21">
        <v>0</v>
      </c>
      <c r="B11" s="21">
        <v>5</v>
      </c>
      <c r="C11" s="21">
        <f t="shared" si="17"/>
        <v>2.5</v>
      </c>
      <c r="D11" s="21">
        <f t="shared" si="1"/>
        <v>31</v>
      </c>
      <c r="E11" s="36">
        <f t="shared" si="18"/>
        <v>31</v>
      </c>
      <c r="F11">
        <v>1</v>
      </c>
      <c r="G11" s="144">
        <f>G12*0.95</f>
        <v>1.9579499999999999</v>
      </c>
      <c r="H11" s="254">
        <f t="shared" si="12"/>
        <v>1</v>
      </c>
      <c r="I11" s="23">
        <f t="shared" si="13"/>
        <v>45000</v>
      </c>
      <c r="J11" s="23">
        <f t="shared" si="5"/>
        <v>1395</v>
      </c>
      <c r="K11" s="23">
        <f t="shared" si="6"/>
        <v>213.46591139523252</v>
      </c>
      <c r="L11" s="22">
        <f t="shared" si="14"/>
        <v>5.539273153575615</v>
      </c>
      <c r="M11" s="254">
        <f t="shared" si="8"/>
        <v>0</v>
      </c>
      <c r="N11" s="23">
        <f t="shared" si="15"/>
        <v>0</v>
      </c>
      <c r="O11" s="256">
        <f t="shared" si="10"/>
        <v>0</v>
      </c>
      <c r="P11" s="23">
        <f t="shared" si="16"/>
        <v>0</v>
      </c>
      <c r="R11" s="476" t="s">
        <v>4</v>
      </c>
      <c r="S11" s="476"/>
      <c r="V11" s="137"/>
      <c r="W11" s="138"/>
      <c r="X11" s="138"/>
      <c r="Z11" s="138"/>
    </row>
    <row r="12" spans="1:48">
      <c r="A12" s="21">
        <v>5</v>
      </c>
      <c r="B12" s="21">
        <v>10</v>
      </c>
      <c r="C12" s="21">
        <f t="shared" si="17"/>
        <v>7.5</v>
      </c>
      <c r="D12" s="21">
        <f t="shared" si="1"/>
        <v>64</v>
      </c>
      <c r="E12" s="36">
        <f t="shared" si="18"/>
        <v>48.695652173913047</v>
      </c>
      <c r="F12">
        <v>1</v>
      </c>
      <c r="G12" s="144">
        <f>cop_5</f>
        <v>2.0609999999999999</v>
      </c>
      <c r="H12" s="254">
        <f t="shared" si="12"/>
        <v>0.76086956521739135</v>
      </c>
      <c r="I12" s="23">
        <f t="shared" si="13"/>
        <v>34239.130434782608</v>
      </c>
      <c r="J12" s="23">
        <f t="shared" si="5"/>
        <v>2191.304347826087</v>
      </c>
      <c r="K12" s="23">
        <f t="shared" si="6"/>
        <v>318.917432993727</v>
      </c>
      <c r="L12" s="22">
        <f t="shared" si="14"/>
        <v>5.539273153575615</v>
      </c>
      <c r="M12" s="254">
        <f t="shared" si="8"/>
        <v>0</v>
      </c>
      <c r="N12" s="23">
        <f t="shared" si="15"/>
        <v>0</v>
      </c>
      <c r="O12" s="256">
        <f t="shared" si="10"/>
        <v>0</v>
      </c>
      <c r="P12" s="23">
        <f t="shared" si="16"/>
        <v>0</v>
      </c>
      <c r="R12" s="9">
        <v>47</v>
      </c>
      <c r="S12" s="32">
        <f>INDEX(data,MATCH(me_unit,unit,0),MATCH(R12,top,0))</f>
        <v>3.75</v>
      </c>
      <c r="V12" s="130" t="s">
        <v>100</v>
      </c>
      <c r="W12" s="130"/>
      <c r="X12" s="130"/>
      <c r="Y12" s="127"/>
      <c r="Z12" s="131">
        <f>Z15+Z13</f>
        <v>1470.1197827532728</v>
      </c>
    </row>
    <row r="13" spans="1:48">
      <c r="A13" s="21">
        <v>10</v>
      </c>
      <c r="B13" s="21">
        <v>15</v>
      </c>
      <c r="C13" s="21">
        <f t="shared" si="17"/>
        <v>12.5</v>
      </c>
      <c r="D13" s="21">
        <f t="shared" si="1"/>
        <v>220</v>
      </c>
      <c r="E13" s="36">
        <f t="shared" si="18"/>
        <v>151.44927536231882</v>
      </c>
      <c r="F13" s="1">
        <f>F12-($F$12-$F$23)/11</f>
        <v>0.92727272727272725</v>
      </c>
      <c r="G13" s="144">
        <f>(G12+G14)/2</f>
        <v>2.286</v>
      </c>
      <c r="H13" s="254">
        <f t="shared" si="12"/>
        <v>0.68840579710144922</v>
      </c>
      <c r="I13" s="23">
        <f>H13*heat_load</f>
        <v>30978.260869565216</v>
      </c>
      <c r="J13" s="23">
        <f t="shared" si="5"/>
        <v>6319.565217391304</v>
      </c>
      <c r="K13" s="23">
        <f t="shared" si="6"/>
        <v>832.93551105247889</v>
      </c>
      <c r="L13" s="22">
        <f t="shared" si="14"/>
        <v>5.539273153575615</v>
      </c>
      <c r="M13" s="254">
        <f t="shared" si="8"/>
        <v>0</v>
      </c>
      <c r="N13" s="23">
        <f t="shared" si="15"/>
        <v>0</v>
      </c>
      <c r="O13" s="256">
        <f t="shared" si="10"/>
        <v>0</v>
      </c>
      <c r="P13" s="23">
        <f t="shared" si="16"/>
        <v>0</v>
      </c>
      <c r="R13" s="9">
        <v>17</v>
      </c>
      <c r="S13" s="32">
        <f>IF(AA30="no",INDEX(data,MATCH(me_unit,unit,0),MATCH(R13,top,0)),INDEX(data,MATCH(me_unit,unit,0),MATCH(R13,top,0))*0.9)*0.93</f>
        <v>2.5110000000000001</v>
      </c>
      <c r="V13" s="132" t="s">
        <v>101</v>
      </c>
      <c r="W13" s="132"/>
      <c r="X13" s="30"/>
      <c r="Z13" s="139">
        <f>IF(AA30="no",INDEX(totals,MATCH("ME",type,0),MATCH("Heat $",total_value,0)),IF(AA31=0,INDEX(totals,MATCH(exist_heat,type,0),MATCH("Mixed 0",total_value,0)),INDEX(totals,MATCH(exist_heat,type,0),MATCH("Mixed 25",total_value,0))))</f>
        <v>1114.7969301672624</v>
      </c>
    </row>
    <row r="14" spans="1:48">
      <c r="A14" s="21">
        <v>15</v>
      </c>
      <c r="B14" s="21">
        <v>20</v>
      </c>
      <c r="C14" s="21">
        <f t="shared" si="17"/>
        <v>17.5</v>
      </c>
      <c r="D14" s="21">
        <f t="shared" si="1"/>
        <v>465</v>
      </c>
      <c r="E14" s="36">
        <f t="shared" si="18"/>
        <v>286.41304347826087</v>
      </c>
      <c r="F14" s="1">
        <f t="shared" ref="F14:F22" si="19">F13-($F$12-$F$23)/11</f>
        <v>0.8545454545454545</v>
      </c>
      <c r="G14" s="144">
        <f>cop_17</f>
        <v>2.5110000000000001</v>
      </c>
      <c r="H14" s="254">
        <f t="shared" si="12"/>
        <v>0.61594202898550721</v>
      </c>
      <c r="I14" s="23">
        <f t="shared" si="13"/>
        <v>27717.391304347824</v>
      </c>
      <c r="J14" s="23">
        <f t="shared" si="5"/>
        <v>11013.883399209484</v>
      </c>
      <c r="K14" s="23">
        <f t="shared" si="6"/>
        <v>1328.4994250960594</v>
      </c>
      <c r="L14" s="22">
        <f t="shared" si="14"/>
        <v>5.539273153575615</v>
      </c>
      <c r="M14" s="254">
        <f t="shared" si="8"/>
        <v>0</v>
      </c>
      <c r="N14" s="23">
        <f t="shared" si="15"/>
        <v>0</v>
      </c>
      <c r="O14" s="256">
        <f t="shared" si="10"/>
        <v>0</v>
      </c>
      <c r="P14" s="23">
        <f t="shared" si="16"/>
        <v>0</v>
      </c>
      <c r="R14" s="9">
        <v>5</v>
      </c>
      <c r="S14" s="143">
        <f>INDEX(data,MATCH(me_unit,unit,0),MATCH(R14,top,0))*0.9</f>
        <v>2.0609999999999999</v>
      </c>
      <c r="V14" s="248" t="s">
        <v>289</v>
      </c>
      <c r="Z14" s="258">
        <f>IF(AA30="Yes",IF(AA31=0,INDEX(totals,MATCH(exist_heat,type,0),MATCH(Y37,total_value,0)),INDEX(totals,MATCH(exist_heat,type,0),MATCH(Calcs!$X$37,total_value,0))),0)</f>
        <v>0</v>
      </c>
    </row>
    <row r="15" spans="1:48">
      <c r="A15" s="21">
        <v>20</v>
      </c>
      <c r="B15" s="21">
        <v>25</v>
      </c>
      <c r="C15" s="21">
        <f t="shared" si="17"/>
        <v>22.5</v>
      </c>
      <c r="D15" s="21">
        <f t="shared" si="1"/>
        <v>404</v>
      </c>
      <c r="E15" s="36">
        <f t="shared" si="18"/>
        <v>219.56521739130434</v>
      </c>
      <c r="F15" s="1">
        <f t="shared" si="19"/>
        <v>0.78181818181818175</v>
      </c>
      <c r="G15" s="144">
        <f>($G$20-$G$14)/6+G14</f>
        <v>2.7175000000000002</v>
      </c>
      <c r="H15" s="254">
        <f t="shared" si="12"/>
        <v>0.54347826086956519</v>
      </c>
      <c r="I15" s="23">
        <f t="shared" si="13"/>
        <v>24456.521739130432</v>
      </c>
      <c r="J15" s="23">
        <f t="shared" si="5"/>
        <v>7724.7035573122521</v>
      </c>
      <c r="K15" s="23">
        <f t="shared" si="6"/>
        <v>866.04650769740272</v>
      </c>
      <c r="L15" s="22">
        <f t="shared" si="14"/>
        <v>5.539273153575615</v>
      </c>
      <c r="M15" s="254">
        <f t="shared" si="8"/>
        <v>0</v>
      </c>
      <c r="N15" s="23">
        <f t="shared" si="15"/>
        <v>0</v>
      </c>
      <c r="O15" s="256">
        <f t="shared" si="10"/>
        <v>0</v>
      </c>
      <c r="P15" s="23">
        <f t="shared" si="16"/>
        <v>0</v>
      </c>
      <c r="R15" s="9">
        <v>95</v>
      </c>
      <c r="S15" s="32">
        <f>INDEX(data,MATCH(me_unit,unit,0),MATCH(R15,top,0))</f>
        <v>3.5169988276670576</v>
      </c>
      <c r="V15" s="132" t="s">
        <v>102</v>
      </c>
      <c r="W15" s="132"/>
      <c r="X15" s="30"/>
      <c r="Z15" s="139">
        <f>INDEX(totals,MATCH("ME",type,0),MATCH("Cool $",total_value,0))</f>
        <v>355.32285258601053</v>
      </c>
    </row>
    <row r="16" spans="1:48">
      <c r="A16" s="21">
        <v>25</v>
      </c>
      <c r="B16" s="21">
        <v>30</v>
      </c>
      <c r="C16" s="21">
        <f t="shared" si="17"/>
        <v>27.5</v>
      </c>
      <c r="D16" s="21">
        <f t="shared" si="1"/>
        <v>374</v>
      </c>
      <c r="E16" s="36">
        <f t="shared" si="18"/>
        <v>176.15942028985506</v>
      </c>
      <c r="F16" s="1">
        <f t="shared" si="19"/>
        <v>0.70909090909090899</v>
      </c>
      <c r="G16" s="144">
        <f>($G$20-$G$14)/6+G15</f>
        <v>2.9240000000000004</v>
      </c>
      <c r="H16" s="254">
        <f t="shared" si="12"/>
        <v>0.47101449275362317</v>
      </c>
      <c r="I16" s="23">
        <f>H16*heat_load</f>
        <v>21195.652173913044</v>
      </c>
      <c r="J16" s="23">
        <f t="shared" si="5"/>
        <v>5621.0869565217381</v>
      </c>
      <c r="K16" s="23">
        <f t="shared" si="6"/>
        <v>589.84605840090921</v>
      </c>
      <c r="L16" s="22">
        <f t="shared" si="14"/>
        <v>5.539273153575615</v>
      </c>
      <c r="M16" s="254">
        <f t="shared" si="8"/>
        <v>0</v>
      </c>
      <c r="N16" s="23">
        <f t="shared" si="15"/>
        <v>0</v>
      </c>
      <c r="O16" s="256">
        <f t="shared" si="10"/>
        <v>0</v>
      </c>
      <c r="P16" s="23">
        <f t="shared" si="16"/>
        <v>0</v>
      </c>
      <c r="R16" s="33" t="s">
        <v>23</v>
      </c>
      <c r="S16" s="32">
        <f>INDEX(data,MATCH(me_unit,unit,0),MATCH(R16,top,0))</f>
        <v>5.539273153575615</v>
      </c>
      <c r="V16" s="130" t="s">
        <v>99</v>
      </c>
      <c r="W16" s="130"/>
      <c r="X16" s="130"/>
      <c r="Y16" s="127"/>
      <c r="Z16" s="134">
        <f>IF(AA30="no",INDEX(totals,MATCH("ME",type,0),MATCH("tot mbtu",total_value,0)),IF(AA31=0,INDEX(totals,MATCH(exist_heat,type,0),MATCH("MBTU 0",total_value,0)),INDEX(totals,MATCH(exist_heat,type,0),MATCH("MBTU 25",total_value,0))))</f>
        <v>29506.168816200981</v>
      </c>
    </row>
    <row r="17" spans="1:27">
      <c r="A17" s="21">
        <v>30</v>
      </c>
      <c r="B17" s="21">
        <v>35</v>
      </c>
      <c r="C17" s="21">
        <f t="shared" si="17"/>
        <v>32.5</v>
      </c>
      <c r="D17" s="21">
        <f t="shared" si="1"/>
        <v>641</v>
      </c>
      <c r="E17" s="36">
        <f t="shared" si="18"/>
        <v>255.47101449275362</v>
      </c>
      <c r="F17" s="1">
        <f t="shared" si="19"/>
        <v>0.63636363636363624</v>
      </c>
      <c r="G17" s="144">
        <f>($G$20-$G$14)/6+G16</f>
        <v>3.1305000000000005</v>
      </c>
      <c r="H17" s="254">
        <f t="shared" si="12"/>
        <v>0.39855072463768115</v>
      </c>
      <c r="I17" s="23">
        <f t="shared" si="13"/>
        <v>17934.782608695652</v>
      </c>
      <c r="J17" s="23">
        <f t="shared" si="5"/>
        <v>7315.7608695652161</v>
      </c>
      <c r="K17" s="23">
        <f>IF(AND($AA$30="yes",B17&lt;=$AA$31),0,J17/3.412/G17+$S$18*D17*H17/2)</f>
        <v>704.07547280881658</v>
      </c>
      <c r="L17" s="22">
        <f t="shared" si="14"/>
        <v>5.539273153575615</v>
      </c>
      <c r="M17" s="254">
        <f t="shared" si="8"/>
        <v>0</v>
      </c>
      <c r="N17" s="23">
        <f t="shared" si="15"/>
        <v>0</v>
      </c>
      <c r="O17" s="256">
        <f t="shared" si="10"/>
        <v>0</v>
      </c>
      <c r="P17" s="23">
        <f t="shared" si="16"/>
        <v>0</v>
      </c>
      <c r="R17" s="33" t="s">
        <v>54</v>
      </c>
      <c r="S17" s="32">
        <f>year_cooling/3.412</f>
        <v>3.5169988276670576</v>
      </c>
      <c r="V17" s="132" t="s">
        <v>112</v>
      </c>
      <c r="W17" s="135"/>
      <c r="X17" s="30"/>
      <c r="Z17" s="136">
        <f>IF(AA30="no",INDEX(totals,MATCH("ME",type,0),MATCH("kwh",total_value,0)),IF(AA31=0,INDEX(totals,MATCH(exist_heat,type,0),MATCH("KWH 0",total_value,0)),INDEX(totals,MATCH(exist_heat,type,0),MATCH("KWH 25",total_value,0))))</f>
        <v>8647.7634279604281</v>
      </c>
    </row>
    <row r="18" spans="1:27">
      <c r="A18" s="21">
        <v>35</v>
      </c>
      <c r="B18" s="21">
        <v>40</v>
      </c>
      <c r="C18" s="21">
        <f t="shared" si="17"/>
        <v>37.5</v>
      </c>
      <c r="D18" s="21">
        <f t="shared" si="1"/>
        <v>941</v>
      </c>
      <c r="E18" s="36">
        <f t="shared" si="18"/>
        <v>306.8478260869565</v>
      </c>
      <c r="F18" s="1">
        <f t="shared" si="19"/>
        <v>0.56363636363636349</v>
      </c>
      <c r="G18" s="144">
        <f>($G$20-$G$14)/6+G17</f>
        <v>3.3370000000000006</v>
      </c>
      <c r="H18" s="254">
        <f t="shared" si="12"/>
        <v>0.32608695652173914</v>
      </c>
      <c r="I18" s="23">
        <f t="shared" si="13"/>
        <v>14673.913043478262</v>
      </c>
      <c r="J18" s="23">
        <f t="shared" si="5"/>
        <v>7782.7766798418952</v>
      </c>
      <c r="K18" s="23">
        <f>IF(AND($AA$30="yes",B18&lt;=$AA$31),0,J18/3.412/G18+$S$18*D18*H18/2)</f>
        <v>706.56209507255551</v>
      </c>
      <c r="L18" s="22">
        <f t="shared" si="14"/>
        <v>5.539273153575615</v>
      </c>
      <c r="M18" s="254">
        <f t="shared" si="8"/>
        <v>0</v>
      </c>
      <c r="N18" s="23">
        <f t="shared" si="15"/>
        <v>0</v>
      </c>
      <c r="O18" s="256">
        <f t="shared" si="10"/>
        <v>0</v>
      </c>
      <c r="P18" s="23">
        <f t="shared" si="16"/>
        <v>0</v>
      </c>
      <c r="R18" s="150" t="s">
        <v>206</v>
      </c>
      <c r="S18" s="151">
        <f>INDEX(data,MATCH(me_unit,unit,0),MATCH(R18,top,0))</f>
        <v>0.15</v>
      </c>
      <c r="V18" s="132" t="s">
        <v>113</v>
      </c>
      <c r="W18" s="132"/>
      <c r="X18" s="30"/>
      <c r="Z18" s="136">
        <f>IF(AA30="no",INDEX(totals,MATCH("ME",type,0),MATCH("heat kwh",total_value,0)),IF(AA31=0,INDEX(totals,MATCH(exist_heat,type,0),MATCH("HKWH 0",total_value,0)),INDEX(totals,MATCH(exist_heat,type,0),MATCH("HKWH 25",total_value,0))))</f>
        <v>6557.6290009838958</v>
      </c>
    </row>
    <row r="19" spans="1:27">
      <c r="A19" s="21">
        <v>40</v>
      </c>
      <c r="B19" s="21">
        <v>45</v>
      </c>
      <c r="C19" s="21">
        <f t="shared" si="17"/>
        <v>42.5</v>
      </c>
      <c r="D19" s="21">
        <f t="shared" si="1"/>
        <v>783</v>
      </c>
      <c r="E19" s="36">
        <f t="shared" si="18"/>
        <v>198.58695652173915</v>
      </c>
      <c r="F19" s="1">
        <f t="shared" si="19"/>
        <v>0.49090909090909074</v>
      </c>
      <c r="G19" s="144">
        <f>($G$20-$G$14)/6+G18</f>
        <v>3.5435000000000008</v>
      </c>
      <c r="H19" s="254">
        <f t="shared" si="12"/>
        <v>0.25362318840579712</v>
      </c>
      <c r="I19" s="23">
        <f t="shared" si="13"/>
        <v>11413.04347826087</v>
      </c>
      <c r="J19" s="23">
        <f t="shared" si="5"/>
        <v>4386.9664031620541</v>
      </c>
      <c r="K19" s="23">
        <f>IF(AND($AA$30="yes",B19&lt;=$AA$31),0,J19/3.412/G19+$S$18*D19*H19/2)</f>
        <v>377.74044704687014</v>
      </c>
      <c r="L19" s="22">
        <f t="shared" si="14"/>
        <v>5.539273153575615</v>
      </c>
      <c r="M19" s="254">
        <f t="shared" si="8"/>
        <v>0</v>
      </c>
      <c r="N19" s="23">
        <f t="shared" si="15"/>
        <v>0</v>
      </c>
      <c r="O19" s="256">
        <f t="shared" si="10"/>
        <v>0</v>
      </c>
      <c r="P19" s="23">
        <f t="shared" si="16"/>
        <v>0</v>
      </c>
      <c r="R19" s="30"/>
      <c r="S19" s="31"/>
      <c r="V19" s="132" t="s">
        <v>114</v>
      </c>
      <c r="W19" s="132"/>
      <c r="X19" s="30"/>
      <c r="Z19" s="136">
        <f>INDEX(totals,MATCH("ME",type,0),MATCH("Cool kwh",total_value,0))</f>
        <v>2090.1344269765323</v>
      </c>
    </row>
    <row r="20" spans="1:27">
      <c r="A20" s="21">
        <v>45</v>
      </c>
      <c r="B20" s="21">
        <v>50</v>
      </c>
      <c r="C20" s="21">
        <f t="shared" si="17"/>
        <v>47.5</v>
      </c>
      <c r="D20" s="21">
        <f t="shared" si="1"/>
        <v>696</v>
      </c>
      <c r="E20" s="36">
        <f t="shared" si="18"/>
        <v>126.08695652173913</v>
      </c>
      <c r="F20" s="1">
        <f t="shared" si="19"/>
        <v>0.41818181818181799</v>
      </c>
      <c r="G20" s="144">
        <f>cop_47</f>
        <v>3.75</v>
      </c>
      <c r="H20" s="254">
        <f t="shared" si="12"/>
        <v>0.18115942028985507</v>
      </c>
      <c r="I20" s="23">
        <f t="shared" si="13"/>
        <v>8152.173913043478</v>
      </c>
      <c r="J20" s="23">
        <f t="shared" si="5"/>
        <v>2372.7272727272716</v>
      </c>
      <c r="K20" s="23">
        <f t="shared" ref="K20:K34" si="20">IF(AND($AA$30="yes",B20&lt;=$AA$31),0,J20/3.412/G20)</f>
        <v>185.44175636789933</v>
      </c>
      <c r="L20" s="22">
        <f t="shared" si="14"/>
        <v>5.539273153575615</v>
      </c>
      <c r="M20" s="254">
        <f t="shared" si="8"/>
        <v>0</v>
      </c>
      <c r="N20" s="23">
        <f t="shared" si="15"/>
        <v>0</v>
      </c>
      <c r="O20" s="256">
        <f t="shared" si="10"/>
        <v>0</v>
      </c>
      <c r="P20" s="23">
        <f t="shared" si="16"/>
        <v>0</v>
      </c>
      <c r="R20" s="30"/>
      <c r="S20" s="31"/>
      <c r="V20" s="7"/>
    </row>
    <row r="21" spans="1:27">
      <c r="A21" s="21">
        <v>50</v>
      </c>
      <c r="B21" s="21">
        <v>55</v>
      </c>
      <c r="C21" s="21">
        <f t="shared" si="17"/>
        <v>52.5</v>
      </c>
      <c r="D21" s="21">
        <f t="shared" si="1"/>
        <v>565</v>
      </c>
      <c r="E21" s="36">
        <f t="shared" si="18"/>
        <v>61.413043478260867</v>
      </c>
      <c r="F21" s="1">
        <f t="shared" si="19"/>
        <v>0.34545454545454524</v>
      </c>
      <c r="G21" s="144">
        <f>G20</f>
        <v>3.75</v>
      </c>
      <c r="H21" s="254">
        <f t="shared" si="12"/>
        <v>0.10869565217391304</v>
      </c>
      <c r="I21" s="23">
        <f t="shared" si="13"/>
        <v>4891.304347826087</v>
      </c>
      <c r="J21" s="23">
        <f t="shared" si="5"/>
        <v>954.69367588932755</v>
      </c>
      <c r="K21" s="23">
        <f t="shared" si="20"/>
        <v>74.614589752975974</v>
      </c>
      <c r="L21" s="22">
        <f t="shared" si="14"/>
        <v>5.539273153575615</v>
      </c>
      <c r="M21" s="254">
        <f t="shared" si="8"/>
        <v>0</v>
      </c>
      <c r="N21" s="23">
        <f t="shared" si="15"/>
        <v>0</v>
      </c>
      <c r="O21" s="256">
        <f t="shared" si="10"/>
        <v>0</v>
      </c>
      <c r="P21" s="23">
        <f t="shared" si="16"/>
        <v>0</v>
      </c>
      <c r="R21" s="30"/>
      <c r="S21" s="31"/>
      <c r="V21" s="7"/>
    </row>
    <row r="22" spans="1:27">
      <c r="A22" s="21">
        <v>55</v>
      </c>
      <c r="B22" s="21">
        <v>60</v>
      </c>
      <c r="C22" s="21">
        <f t="shared" si="17"/>
        <v>57.5</v>
      </c>
      <c r="D22" s="21">
        <f t="shared" si="1"/>
        <v>701</v>
      </c>
      <c r="E22" s="36">
        <f t="shared" si="18"/>
        <v>25.398550724637683</v>
      </c>
      <c r="F22" s="1">
        <f t="shared" si="19"/>
        <v>0.27272727272727249</v>
      </c>
      <c r="G22" s="144">
        <f t="shared" ref="G22:G34" si="21">G21</f>
        <v>3.75</v>
      </c>
      <c r="H22" s="254">
        <f t="shared" si="12"/>
        <v>3.6231884057971016E-2</v>
      </c>
      <c r="I22" s="23">
        <f t="shared" si="13"/>
        <v>1630.4347826086957</v>
      </c>
      <c r="J22" s="23">
        <f t="shared" si="5"/>
        <v>311.70948616600765</v>
      </c>
      <c r="K22" s="23">
        <f t="shared" si="20"/>
        <v>24.36181994263444</v>
      </c>
      <c r="L22" s="22">
        <f t="shared" si="14"/>
        <v>5.539273153575615</v>
      </c>
      <c r="M22" s="254">
        <f t="shared" si="8"/>
        <v>0</v>
      </c>
      <c r="N22" s="23">
        <f t="shared" si="15"/>
        <v>0</v>
      </c>
      <c r="O22" s="256">
        <f t="shared" si="10"/>
        <v>0</v>
      </c>
      <c r="P22" s="23">
        <f t="shared" si="16"/>
        <v>0</v>
      </c>
      <c r="V22" s="7"/>
    </row>
    <row r="23" spans="1:27">
      <c r="A23" s="21">
        <v>60</v>
      </c>
      <c r="B23" s="21">
        <v>65</v>
      </c>
      <c r="C23" s="21">
        <f t="shared" si="17"/>
        <v>62.5</v>
      </c>
      <c r="D23" s="21">
        <f t="shared" si="1"/>
        <v>991</v>
      </c>
      <c r="E23" s="36">
        <f t="shared" si="18"/>
        <v>0</v>
      </c>
      <c r="F23">
        <v>0.2</v>
      </c>
      <c r="G23" s="144">
        <f t="shared" si="21"/>
        <v>3.75</v>
      </c>
      <c r="H23" s="254">
        <f t="shared" si="12"/>
        <v>0</v>
      </c>
      <c r="I23" s="23">
        <f t="shared" si="13"/>
        <v>0</v>
      </c>
      <c r="J23" s="23">
        <f t="shared" si="5"/>
        <v>0</v>
      </c>
      <c r="K23" s="23">
        <f t="shared" si="20"/>
        <v>0</v>
      </c>
      <c r="L23" s="22">
        <f t="shared" si="14"/>
        <v>5.539273153575615</v>
      </c>
      <c r="M23" s="254">
        <f t="shared" si="8"/>
        <v>0</v>
      </c>
      <c r="N23" s="23">
        <f t="shared" si="15"/>
        <v>0</v>
      </c>
      <c r="O23" s="256">
        <f t="shared" si="10"/>
        <v>0</v>
      </c>
      <c r="P23" s="23">
        <f t="shared" si="16"/>
        <v>0</v>
      </c>
      <c r="V23" s="7"/>
    </row>
    <row r="24" spans="1:27">
      <c r="A24" s="21">
        <v>65</v>
      </c>
      <c r="B24" s="21">
        <v>70</v>
      </c>
      <c r="C24" s="21">
        <f t="shared" si="17"/>
        <v>67.5</v>
      </c>
      <c r="D24" s="21">
        <f t="shared" si="1"/>
        <v>735</v>
      </c>
      <c r="E24" s="36">
        <f t="shared" si="18"/>
        <v>0</v>
      </c>
      <c r="F24" s="28">
        <v>0</v>
      </c>
      <c r="G24" s="144">
        <f t="shared" si="21"/>
        <v>3.75</v>
      </c>
      <c r="H24" s="254">
        <f t="shared" si="12"/>
        <v>0</v>
      </c>
      <c r="I24" s="23">
        <f t="shared" si="13"/>
        <v>0</v>
      </c>
      <c r="J24" s="23">
        <f t="shared" si="5"/>
        <v>0</v>
      </c>
      <c r="K24" s="23">
        <f t="shared" si="20"/>
        <v>0</v>
      </c>
      <c r="L24" s="22">
        <f t="shared" si="14"/>
        <v>5.539273153575615</v>
      </c>
      <c r="M24" s="254">
        <f t="shared" si="8"/>
        <v>0.13636363636363635</v>
      </c>
      <c r="N24" s="23">
        <f t="shared" si="15"/>
        <v>4909.090909090909</v>
      </c>
      <c r="O24" s="256">
        <f t="shared" si="10"/>
        <v>3608.1818181818185</v>
      </c>
      <c r="P24" s="23">
        <f t="shared" si="16"/>
        <v>200.95693779904309</v>
      </c>
      <c r="V24" s="7"/>
    </row>
    <row r="25" spans="1:27">
      <c r="A25" s="21">
        <v>70</v>
      </c>
      <c r="B25" s="21">
        <v>75</v>
      </c>
      <c r="C25" s="21">
        <f t="shared" si="17"/>
        <v>72.5</v>
      </c>
      <c r="D25" s="21">
        <f t="shared" si="1"/>
        <v>503</v>
      </c>
      <c r="E25" s="36">
        <f t="shared" si="18"/>
        <v>0</v>
      </c>
      <c r="F25" s="28">
        <v>0</v>
      </c>
      <c r="G25" s="144">
        <f t="shared" si="21"/>
        <v>3.75</v>
      </c>
      <c r="H25" s="254">
        <f t="shared" si="12"/>
        <v>0</v>
      </c>
      <c r="I25" s="23">
        <f t="shared" si="13"/>
        <v>0</v>
      </c>
      <c r="J25" s="23">
        <f t="shared" si="5"/>
        <v>0</v>
      </c>
      <c r="K25" s="23">
        <f t="shared" si="20"/>
        <v>0</v>
      </c>
      <c r="L25" s="22">
        <f t="shared" si="14"/>
        <v>5.539273153575615</v>
      </c>
      <c r="M25" s="254">
        <f t="shared" si="8"/>
        <v>0.59090909090909094</v>
      </c>
      <c r="N25" s="23">
        <f>M25*cool_load</f>
        <v>21272.727272727272</v>
      </c>
      <c r="O25" s="256">
        <f t="shared" si="10"/>
        <v>10700.181818181818</v>
      </c>
      <c r="P25" s="23">
        <f>O25/3.412/L25/(1-$B$42)</f>
        <v>595.94440647072236</v>
      </c>
    </row>
    <row r="26" spans="1:27">
      <c r="A26" s="21">
        <v>75</v>
      </c>
      <c r="B26" s="21">
        <v>80</v>
      </c>
      <c r="C26" s="21">
        <f t="shared" si="17"/>
        <v>77.5</v>
      </c>
      <c r="D26" s="21">
        <f t="shared" si="1"/>
        <v>414</v>
      </c>
      <c r="E26" s="36">
        <f t="shared" si="18"/>
        <v>0</v>
      </c>
      <c r="F26" s="28">
        <v>0</v>
      </c>
      <c r="G26" s="144">
        <f t="shared" si="21"/>
        <v>3.75</v>
      </c>
      <c r="H26" s="254">
        <f t="shared" si="12"/>
        <v>0</v>
      </c>
      <c r="I26" s="23">
        <f t="shared" si="13"/>
        <v>0</v>
      </c>
      <c r="J26" s="23">
        <f t="shared" si="5"/>
        <v>0</v>
      </c>
      <c r="K26" s="23">
        <f t="shared" si="20"/>
        <v>0</v>
      </c>
      <c r="L26" s="22">
        <f t="shared" si="14"/>
        <v>5.539273153575615</v>
      </c>
      <c r="M26" s="254">
        <f t="shared" si="8"/>
        <v>1</v>
      </c>
      <c r="N26" s="23">
        <f t="shared" si="15"/>
        <v>36000</v>
      </c>
      <c r="O26" s="256">
        <f t="shared" si="10"/>
        <v>14904</v>
      </c>
      <c r="P26" s="23">
        <f>O26/3.412/L26/(1-$B$42)</f>
        <v>830.07518796992497</v>
      </c>
    </row>
    <row r="27" spans="1:27">
      <c r="A27" s="21">
        <v>80</v>
      </c>
      <c r="B27" s="21">
        <v>85</v>
      </c>
      <c r="C27" s="21">
        <f t="shared" si="17"/>
        <v>82.5</v>
      </c>
      <c r="D27" s="21">
        <f t="shared" si="1"/>
        <v>205</v>
      </c>
      <c r="E27" s="36">
        <f t="shared" si="18"/>
        <v>0</v>
      </c>
      <c r="F27" s="28">
        <v>0</v>
      </c>
      <c r="G27" s="144">
        <f t="shared" si="21"/>
        <v>3.75</v>
      </c>
      <c r="H27" s="254">
        <f t="shared" si="12"/>
        <v>0</v>
      </c>
      <c r="I27" s="23">
        <f t="shared" si="13"/>
        <v>0</v>
      </c>
      <c r="J27" s="23">
        <f t="shared" si="5"/>
        <v>0</v>
      </c>
      <c r="K27" s="23">
        <f t="shared" si="20"/>
        <v>0</v>
      </c>
      <c r="L27" s="22">
        <f>L26-($L$26-$L$30)/4</f>
        <v>5.0337045720984754</v>
      </c>
      <c r="M27" s="254">
        <f t="shared" si="8"/>
        <v>1</v>
      </c>
      <c r="N27" s="23">
        <f t="shared" si="15"/>
        <v>36000</v>
      </c>
      <c r="O27" s="256">
        <f t="shared" si="10"/>
        <v>7380</v>
      </c>
      <c r="P27" s="23">
        <f t="shared" si="16"/>
        <v>452.30981383589989</v>
      </c>
    </row>
    <row r="28" spans="1:27">
      <c r="A28" s="21">
        <v>85</v>
      </c>
      <c r="B28" s="21">
        <v>90</v>
      </c>
      <c r="C28" s="21">
        <f t="shared" si="17"/>
        <v>87.5</v>
      </c>
      <c r="D28" s="21">
        <f t="shared" si="1"/>
        <v>26</v>
      </c>
      <c r="E28" s="36">
        <f t="shared" si="18"/>
        <v>0</v>
      </c>
      <c r="F28" s="28">
        <v>0</v>
      </c>
      <c r="G28" s="144">
        <f t="shared" si="21"/>
        <v>3.75</v>
      </c>
      <c r="H28" s="254">
        <f t="shared" si="12"/>
        <v>0</v>
      </c>
      <c r="I28" s="23">
        <f t="shared" si="13"/>
        <v>0</v>
      </c>
      <c r="J28" s="23">
        <f t="shared" si="5"/>
        <v>0</v>
      </c>
      <c r="K28" s="23">
        <f t="shared" si="20"/>
        <v>0</v>
      </c>
      <c r="L28" s="22">
        <f>L27-($L$26-$L$30)/4</f>
        <v>4.5281359906213359</v>
      </c>
      <c r="M28" s="254">
        <f t="shared" si="8"/>
        <v>1</v>
      </c>
      <c r="N28" s="23">
        <f t="shared" si="15"/>
        <v>36000</v>
      </c>
      <c r="O28" s="256">
        <f t="shared" si="10"/>
        <v>936</v>
      </c>
      <c r="P28" s="23">
        <f t="shared" si="16"/>
        <v>63.771078180889134</v>
      </c>
    </row>
    <row r="29" spans="1:27">
      <c r="A29" s="21">
        <v>90</v>
      </c>
      <c r="B29" s="21">
        <v>95</v>
      </c>
      <c r="C29" s="21">
        <f t="shared" si="17"/>
        <v>92.5</v>
      </c>
      <c r="D29" s="21">
        <f t="shared" si="1"/>
        <v>0</v>
      </c>
      <c r="E29" s="36">
        <f t="shared" si="18"/>
        <v>0</v>
      </c>
      <c r="F29" s="28">
        <v>0</v>
      </c>
      <c r="G29" s="144">
        <f t="shared" si="21"/>
        <v>3.75</v>
      </c>
      <c r="H29" s="254">
        <f t="shared" si="12"/>
        <v>0</v>
      </c>
      <c r="I29" s="23">
        <f t="shared" si="13"/>
        <v>0</v>
      </c>
      <c r="J29" s="23">
        <f t="shared" si="5"/>
        <v>0</v>
      </c>
      <c r="K29" s="23">
        <f t="shared" si="20"/>
        <v>0</v>
      </c>
      <c r="L29" s="22">
        <f>L28-($L$26-$L$30)/4</f>
        <v>4.0225674091441963</v>
      </c>
      <c r="M29" s="254">
        <f t="shared" si="8"/>
        <v>1</v>
      </c>
      <c r="N29" s="23">
        <f t="shared" si="15"/>
        <v>36000</v>
      </c>
      <c r="O29" s="256">
        <f t="shared" si="10"/>
        <v>0</v>
      </c>
      <c r="P29" s="23">
        <f t="shared" si="16"/>
        <v>0</v>
      </c>
    </row>
    <row r="30" spans="1:27">
      <c r="A30" s="21">
        <v>95</v>
      </c>
      <c r="B30" s="21">
        <v>100</v>
      </c>
      <c r="C30" s="21">
        <f t="shared" si="17"/>
        <v>97.5</v>
      </c>
      <c r="D30" s="21">
        <f t="shared" si="1"/>
        <v>0</v>
      </c>
      <c r="E30" s="36">
        <f t="shared" si="18"/>
        <v>0</v>
      </c>
      <c r="F30" s="28">
        <v>0</v>
      </c>
      <c r="G30" s="144">
        <f t="shared" si="21"/>
        <v>3.75</v>
      </c>
      <c r="H30" s="254">
        <f t="shared" si="12"/>
        <v>0</v>
      </c>
      <c r="I30" s="23">
        <f t="shared" si="13"/>
        <v>0</v>
      </c>
      <c r="J30" s="23">
        <f t="shared" si="5"/>
        <v>0</v>
      </c>
      <c r="K30" s="23">
        <f t="shared" si="20"/>
        <v>0</v>
      </c>
      <c r="L30" s="22">
        <f>cop_95</f>
        <v>3.5169988276670576</v>
      </c>
      <c r="M30" s="254">
        <f t="shared" si="8"/>
        <v>1</v>
      </c>
      <c r="N30" s="23">
        <f t="shared" si="15"/>
        <v>36000</v>
      </c>
      <c r="O30" s="256">
        <f t="shared" si="10"/>
        <v>0</v>
      </c>
      <c r="P30" s="23">
        <f t="shared" si="16"/>
        <v>0</v>
      </c>
      <c r="Z30" s="10" t="s">
        <v>150</v>
      </c>
      <c r="AA30" s="162" t="str">
        <f>IF(AND(VLOOKUP(me_unit,data,14,FALSE)="no", WDT&gt;=0),"no",BUT)</f>
        <v>no</v>
      </c>
    </row>
    <row r="31" spans="1:27">
      <c r="A31" s="28">
        <v>100</v>
      </c>
      <c r="B31" s="28">
        <v>105</v>
      </c>
      <c r="C31" s="28">
        <f t="shared" si="17"/>
        <v>102.5</v>
      </c>
      <c r="D31" s="21">
        <f t="shared" si="1"/>
        <v>0</v>
      </c>
      <c r="E31" s="36">
        <f t="shared" si="18"/>
        <v>0</v>
      </c>
      <c r="F31" s="28">
        <v>0</v>
      </c>
      <c r="G31" s="144">
        <f t="shared" si="21"/>
        <v>3.75</v>
      </c>
      <c r="H31" s="254">
        <f t="shared" si="12"/>
        <v>0</v>
      </c>
      <c r="I31" s="23">
        <f t="shared" ref="I31:I34" si="22">H31*heat_load</f>
        <v>0</v>
      </c>
      <c r="J31" s="23">
        <f t="shared" si="5"/>
        <v>0</v>
      </c>
      <c r="K31" s="23">
        <f t="shared" si="20"/>
        <v>0</v>
      </c>
      <c r="L31" s="22">
        <f>cop_95</f>
        <v>3.5169988276670576</v>
      </c>
      <c r="M31" s="254">
        <f t="shared" si="8"/>
        <v>1</v>
      </c>
      <c r="N31" s="23">
        <f t="shared" ref="N31:N34" si="23">M31*cool_load</f>
        <v>36000</v>
      </c>
      <c r="O31" s="256">
        <f t="shared" si="10"/>
        <v>0</v>
      </c>
      <c r="P31" s="23">
        <f t="shared" ref="P31:P34" si="24">O31/3.412/L31/(1-$B$42)</f>
        <v>0</v>
      </c>
      <c r="Y31" s="471" t="s">
        <v>149</v>
      </c>
      <c r="Z31" s="471"/>
      <c r="AA31" s="259">
        <f>IF(BUT="yes",IF(VLOOKUP(me_unit,data,15,FALSE)="Yes",0,25))</f>
        <v>0</v>
      </c>
    </row>
    <row r="32" spans="1:27">
      <c r="A32" s="28">
        <v>105</v>
      </c>
      <c r="B32" s="28">
        <v>110</v>
      </c>
      <c r="C32" s="28">
        <f t="shared" si="17"/>
        <v>107.5</v>
      </c>
      <c r="D32" s="21">
        <f t="shared" si="1"/>
        <v>0</v>
      </c>
      <c r="E32" s="36">
        <f t="shared" si="18"/>
        <v>0</v>
      </c>
      <c r="F32" s="28">
        <v>0</v>
      </c>
      <c r="G32" s="144">
        <f t="shared" si="21"/>
        <v>3.75</v>
      </c>
      <c r="H32" s="254">
        <f t="shared" si="12"/>
        <v>0</v>
      </c>
      <c r="I32" s="23">
        <f t="shared" si="22"/>
        <v>0</v>
      </c>
      <c r="J32" s="23">
        <f t="shared" si="5"/>
        <v>0</v>
      </c>
      <c r="K32" s="23">
        <f t="shared" si="20"/>
        <v>0</v>
      </c>
      <c r="L32" s="22">
        <f>cop_95</f>
        <v>3.5169988276670576</v>
      </c>
      <c r="M32" s="254">
        <f t="shared" si="8"/>
        <v>1</v>
      </c>
      <c r="N32" s="23">
        <f t="shared" si="23"/>
        <v>36000</v>
      </c>
      <c r="O32" s="256">
        <f t="shared" si="10"/>
        <v>0</v>
      </c>
      <c r="P32" s="23">
        <f t="shared" si="24"/>
        <v>0</v>
      </c>
      <c r="Z32" s="184" t="s">
        <v>154</v>
      </c>
    </row>
    <row r="33" spans="1:33">
      <c r="A33" s="28">
        <v>110</v>
      </c>
      <c r="B33" s="28">
        <v>115</v>
      </c>
      <c r="C33" s="28">
        <f t="shared" si="17"/>
        <v>112.5</v>
      </c>
      <c r="D33" s="21">
        <f t="shared" si="1"/>
        <v>0</v>
      </c>
      <c r="E33" s="36">
        <f t="shared" si="18"/>
        <v>0</v>
      </c>
      <c r="F33" s="28">
        <v>0</v>
      </c>
      <c r="G33" s="144">
        <f t="shared" si="21"/>
        <v>3.75</v>
      </c>
      <c r="H33" s="254">
        <f t="shared" si="12"/>
        <v>0</v>
      </c>
      <c r="I33" s="23">
        <f t="shared" si="22"/>
        <v>0</v>
      </c>
      <c r="J33" s="23">
        <f t="shared" si="5"/>
        <v>0</v>
      </c>
      <c r="K33" s="23">
        <f t="shared" si="20"/>
        <v>0</v>
      </c>
      <c r="L33" s="22">
        <f>cop_95</f>
        <v>3.5169988276670576</v>
      </c>
      <c r="M33" s="254">
        <f t="shared" si="8"/>
        <v>1</v>
      </c>
      <c r="N33" s="23">
        <f t="shared" si="23"/>
        <v>36000</v>
      </c>
      <c r="O33" s="256">
        <f t="shared" si="10"/>
        <v>0</v>
      </c>
      <c r="P33" s="23">
        <f t="shared" si="24"/>
        <v>0</v>
      </c>
      <c r="Z33" s="184" t="s">
        <v>152</v>
      </c>
    </row>
    <row r="34" spans="1:33">
      <c r="A34" s="29">
        <v>115</v>
      </c>
      <c r="B34" s="29">
        <v>120</v>
      </c>
      <c r="C34" s="29">
        <f t="shared" si="17"/>
        <v>117.5</v>
      </c>
      <c r="D34" s="24">
        <f t="shared" si="1"/>
        <v>0</v>
      </c>
      <c r="E34" s="37">
        <f t="shared" si="18"/>
        <v>0</v>
      </c>
      <c r="F34" s="24">
        <v>0</v>
      </c>
      <c r="G34" s="145">
        <f t="shared" si="21"/>
        <v>3.75</v>
      </c>
      <c r="H34" s="315">
        <f t="shared" si="12"/>
        <v>0</v>
      </c>
      <c r="I34" s="26">
        <f t="shared" si="22"/>
        <v>0</v>
      </c>
      <c r="J34" s="26">
        <f t="shared" si="5"/>
        <v>0</v>
      </c>
      <c r="K34" s="26">
        <f t="shared" si="20"/>
        <v>0</v>
      </c>
      <c r="L34" s="25">
        <f>cop_95</f>
        <v>3.5169988276670576</v>
      </c>
      <c r="M34" s="315">
        <f t="shared" si="8"/>
        <v>1</v>
      </c>
      <c r="N34" s="26">
        <f t="shared" si="23"/>
        <v>36000</v>
      </c>
      <c r="O34" s="257">
        <f t="shared" si="10"/>
        <v>0</v>
      </c>
      <c r="P34" s="26">
        <f t="shared" si="24"/>
        <v>0</v>
      </c>
    </row>
    <row r="35" spans="1:33">
      <c r="D35">
        <v>8760</v>
      </c>
      <c r="G35" s="5"/>
      <c r="H35" s="5"/>
      <c r="I35" s="34"/>
      <c r="J35" s="7">
        <f>SUM(J5:J30)</f>
        <v>57435.177865612641</v>
      </c>
      <c r="K35" s="7">
        <f>IF(AA30="no",SUM(K5:K34),SUM(K15:K34))</f>
        <v>6229.7475509347005</v>
      </c>
      <c r="M35" s="7"/>
      <c r="N35" s="7"/>
      <c r="O35" s="7">
        <f>SUM(O9:O30)</f>
        <v>37528.363636363632</v>
      </c>
      <c r="P35" s="7">
        <f>SUM(P9:P30)</f>
        <v>2143.0574242564794</v>
      </c>
      <c r="Q35" s="7"/>
      <c r="U35" s="7"/>
      <c r="V35" s="7"/>
    </row>
    <row r="36" spans="1:33">
      <c r="G36" s="5"/>
      <c r="H36" s="5"/>
      <c r="J36" s="116"/>
      <c r="K36" s="117"/>
      <c r="L36" s="117"/>
      <c r="M36" s="117"/>
      <c r="N36" s="117"/>
      <c r="O36" s="117"/>
      <c r="P36" s="117"/>
      <c r="Q36" s="117"/>
      <c r="R36" s="472" t="s">
        <v>104</v>
      </c>
      <c r="S36" s="472"/>
      <c r="T36" s="473"/>
      <c r="U36" s="116"/>
      <c r="V36" s="117"/>
      <c r="W36" s="117"/>
      <c r="X36" s="117"/>
      <c r="Y36" s="117"/>
      <c r="Z36" s="474" t="s">
        <v>131</v>
      </c>
      <c r="AA36" s="474"/>
      <c r="AB36" s="474"/>
      <c r="AC36" s="474"/>
      <c r="AD36" s="474"/>
      <c r="AE36" s="474"/>
      <c r="AF36" s="474"/>
      <c r="AG36" s="475"/>
    </row>
    <row r="37" spans="1:33">
      <c r="J37" s="125" t="s">
        <v>55</v>
      </c>
      <c r="K37" s="38" t="s">
        <v>65</v>
      </c>
      <c r="L37" s="38"/>
      <c r="M37" s="38" t="s">
        <v>109</v>
      </c>
      <c r="N37" s="38" t="s">
        <v>107</v>
      </c>
      <c r="O37" s="38" t="s">
        <v>56</v>
      </c>
      <c r="P37" s="38" t="s">
        <v>66</v>
      </c>
      <c r="Q37" s="38" t="s">
        <v>106</v>
      </c>
      <c r="R37" s="38" t="s">
        <v>108</v>
      </c>
      <c r="S37" s="38" t="s">
        <v>57</v>
      </c>
      <c r="T37" s="129" t="s">
        <v>105</v>
      </c>
      <c r="U37" s="125" t="s">
        <v>71</v>
      </c>
      <c r="V37" s="38" t="s">
        <v>267</v>
      </c>
      <c r="W37" s="38"/>
      <c r="X37" s="38" t="s">
        <v>72</v>
      </c>
      <c r="Y37" s="38" t="s">
        <v>266</v>
      </c>
      <c r="Z37" s="140" t="s">
        <v>155</v>
      </c>
      <c r="AA37" s="117" t="s">
        <v>146</v>
      </c>
      <c r="AB37" s="117" t="s">
        <v>148</v>
      </c>
      <c r="AC37" s="118" t="s">
        <v>147</v>
      </c>
      <c r="AD37" s="140" t="s">
        <v>269</v>
      </c>
      <c r="AE37" s="117" t="s">
        <v>270</v>
      </c>
      <c r="AF37" s="117" t="s">
        <v>271</v>
      </c>
      <c r="AG37" s="118" t="s">
        <v>272</v>
      </c>
    </row>
    <row r="38" spans="1:33">
      <c r="A38" t="s">
        <v>61</v>
      </c>
      <c r="B38">
        <f>heat_pump</f>
        <v>8</v>
      </c>
      <c r="I38" s="147" t="s">
        <v>53</v>
      </c>
      <c r="J38" s="119">
        <f>MBTUHP/3.412/(1-$B$42)</f>
        <v>17719.250282474437</v>
      </c>
      <c r="K38" s="187">
        <f>K35/(1-$B$42)</f>
        <v>6557.6290009838958</v>
      </c>
      <c r="L38" s="38" t="s">
        <v>5</v>
      </c>
      <c r="M38" s="120">
        <f>K38</f>
        <v>6557.6290009838958</v>
      </c>
      <c r="N38" s="126">
        <f>K38*elect_rate</f>
        <v>1114.7969301672624</v>
      </c>
      <c r="O38" s="120">
        <f>mbtu_cool/cop_seer</f>
        <v>6774.9617316017311</v>
      </c>
      <c r="P38" s="120">
        <f>O38/3.412/(1-$B$42)</f>
        <v>2090.1344269765323</v>
      </c>
      <c r="Q38" s="126">
        <f t="shared" ref="Q38:Q43" si="25">P38*elect_rate</f>
        <v>355.32285258601053</v>
      </c>
      <c r="R38" s="120">
        <f>(P38+K38)*3.412</f>
        <v>29506.168816200981</v>
      </c>
      <c r="S38" s="120">
        <f>K38+P38</f>
        <v>8647.7634279604281</v>
      </c>
      <c r="T38" s="121">
        <f>N38+Q38</f>
        <v>1470.1197827532728</v>
      </c>
      <c r="U38" s="119">
        <f>SUM(K9:K15)</f>
        <v>3567.1053115420395</v>
      </c>
      <c r="V38" s="120">
        <f>SUM(K5:K10)</f>
        <v>7.2405233071386252</v>
      </c>
      <c r="W38" s="38" t="s">
        <v>5</v>
      </c>
      <c r="X38" s="126">
        <f>U38*elect_rate</f>
        <v>606.40790296214675</v>
      </c>
      <c r="Y38" s="126">
        <f>V38*elect_rate</f>
        <v>1.2308889622135664</v>
      </c>
      <c r="Z38" s="119">
        <f>M38</f>
        <v>6557.6290009838958</v>
      </c>
      <c r="AA38" s="120">
        <f>Z38+$P$38</f>
        <v>8647.7634279604281</v>
      </c>
      <c r="AB38" s="120">
        <f>R38</f>
        <v>29506.168816200981</v>
      </c>
      <c r="AC38" s="121">
        <f>N38</f>
        <v>1114.7969301672624</v>
      </c>
      <c r="AD38" s="119">
        <f>M38</f>
        <v>6557.6290009838958</v>
      </c>
      <c r="AE38" s="120">
        <f>AD38+$P$38</f>
        <v>8647.7634279604281</v>
      </c>
      <c r="AF38" s="120">
        <f>R38</f>
        <v>29506.168816200981</v>
      </c>
      <c r="AG38" s="121">
        <f>N38</f>
        <v>1114.7969301672624</v>
      </c>
    </row>
    <row r="39" spans="1:33">
      <c r="A39" t="s">
        <v>67</v>
      </c>
      <c r="B39" s="5">
        <f>B38*C46+3.412*D46</f>
        <v>6.1021912218486625</v>
      </c>
      <c r="E39" s="7"/>
      <c r="F39" s="7"/>
      <c r="I39" s="147" t="s">
        <v>79</v>
      </c>
      <c r="J39" s="119">
        <f>mbtu</f>
        <v>57435.177865612641</v>
      </c>
      <c r="K39" s="120">
        <f>J39/3.412</f>
        <v>16833.287768350714</v>
      </c>
      <c r="L39" s="38" t="s">
        <v>5</v>
      </c>
      <c r="M39" s="120">
        <f>K39</f>
        <v>16833.287768350714</v>
      </c>
      <c r="N39" s="126">
        <f>K39*elect_rate</f>
        <v>2861.6589206196218</v>
      </c>
      <c r="O39" s="120">
        <f>IF(cooling="none",0,IF(cooling="window ac",$O$35/$S$17*cool_percent,$O$35/$S$17))</f>
        <v>10670.564727272726</v>
      </c>
      <c r="P39" s="120">
        <f>$O$39/3.412/(1-$B$41)</f>
        <v>3909.204545454545</v>
      </c>
      <c r="Q39" s="126">
        <f t="shared" si="25"/>
        <v>664.56477272727273</v>
      </c>
      <c r="R39" s="120">
        <f t="shared" ref="R39:R43" si="26">O39+J39</f>
        <v>68105.742592885363</v>
      </c>
      <c r="S39" s="120">
        <f>M39+P39</f>
        <v>20742.492313805258</v>
      </c>
      <c r="T39" s="121">
        <f t="shared" ref="T39:T43" si="27">N39+Q39</f>
        <v>3526.2236933468944</v>
      </c>
      <c r="U39" s="119">
        <f>B44/3.412</f>
        <v>8408.3987461134602</v>
      </c>
      <c r="V39" s="120">
        <f>B43/3.412</f>
        <v>13.188745603751466</v>
      </c>
      <c r="W39" s="38" t="s">
        <v>5</v>
      </c>
      <c r="X39" s="126">
        <f>U39*elect_rate</f>
        <v>1429.4277868392883</v>
      </c>
      <c r="Y39" s="126">
        <f>V39*elect_rate</f>
        <v>2.2420867526377495</v>
      </c>
      <c r="Z39" s="119">
        <f>Z38+U39</f>
        <v>14966.027747097356</v>
      </c>
      <c r="AA39" s="120">
        <f t="shared" ref="AA39:AA43" si="28">Z39+$P$38</f>
        <v>17056.162174073888</v>
      </c>
      <c r="AB39" s="120">
        <f>AB38+U39*3.412</f>
        <v>58195.625337940102</v>
      </c>
      <c r="AC39" s="121">
        <f>$AC$38+X39</f>
        <v>2544.2247170065507</v>
      </c>
      <c r="AD39" s="119">
        <f>AD38+V39</f>
        <v>6570.817746587647</v>
      </c>
      <c r="AE39" s="120">
        <f t="shared" ref="AE39:AE43" si="29">AD39+$P$38</f>
        <v>8660.9521735641792</v>
      </c>
      <c r="AF39" s="120">
        <f>AF38+V39*3.412</f>
        <v>29551.168816200981</v>
      </c>
      <c r="AG39" s="121">
        <f>$AG$38+Y39</f>
        <v>1117.0390169199002</v>
      </c>
    </row>
    <row r="40" spans="1:33">
      <c r="A40" t="s">
        <v>58</v>
      </c>
      <c r="B40" s="34">
        <f>system_loss_selected</f>
        <v>0.2</v>
      </c>
      <c r="C40" s="7"/>
      <c r="D40" s="7"/>
      <c r="E40" s="7"/>
      <c r="F40" s="7"/>
      <c r="I40" s="147" t="s">
        <v>48</v>
      </c>
      <c r="J40" s="119">
        <f>mbtu/(year_heating*(1-$B$40))</f>
        <v>89742.465415019731</v>
      </c>
      <c r="K40" s="120">
        <f>J40/144</f>
        <v>623.21156538208152</v>
      </c>
      <c r="L40" s="38" t="s">
        <v>68</v>
      </c>
      <c r="M40" s="38">
        <v>0</v>
      </c>
      <c r="N40" s="126">
        <f>K40*oil_rate</f>
        <v>1558.0289134552038</v>
      </c>
      <c r="O40" s="120">
        <f>IF(cooling="none",0,IF(cooling="window ac",$O$35/$S$17*cool_percent,$O$35/$S$17))</f>
        <v>10670.564727272726</v>
      </c>
      <c r="P40" s="120">
        <f>$O$39/3.412/(1-$B$41)</f>
        <v>3909.204545454545</v>
      </c>
      <c r="Q40" s="126">
        <f t="shared" si="25"/>
        <v>664.56477272727273</v>
      </c>
      <c r="R40" s="120">
        <f>O40+J40</f>
        <v>100413.03014229245</v>
      </c>
      <c r="S40" s="120">
        <f t="shared" ref="S40:S42" si="30">M40+P40</f>
        <v>3909.204545454545</v>
      </c>
      <c r="T40" s="121">
        <f t="shared" si="27"/>
        <v>2222.5936861824766</v>
      </c>
      <c r="U40" s="119">
        <f>$B$44/(year_heating*(1-$B$40))/144</f>
        <v>311.30052649456513</v>
      </c>
      <c r="V40" s="120">
        <f>$B$43/(year_heating*(1-$B$40))/144</f>
        <v>0.48828124999999989</v>
      </c>
      <c r="W40" s="38" t="s">
        <v>68</v>
      </c>
      <c r="X40" s="126">
        <f>U40*oil_rate</f>
        <v>778.25131623641278</v>
      </c>
      <c r="Y40" s="126">
        <f>V40*oil_rate</f>
        <v>1.2207031249999998</v>
      </c>
      <c r="Z40" s="119">
        <f>Z38</f>
        <v>6557.6290009838958</v>
      </c>
      <c r="AA40" s="120">
        <f t="shared" si="28"/>
        <v>8647.7634279604281</v>
      </c>
      <c r="AB40" s="120">
        <f>AB38+U40*144</f>
        <v>74333.444631418359</v>
      </c>
      <c r="AC40" s="121">
        <f>$AC$38+X40</f>
        <v>1893.0482464036752</v>
      </c>
      <c r="AD40" s="119">
        <f>AD38</f>
        <v>6557.6290009838958</v>
      </c>
      <c r="AE40" s="120">
        <f t="shared" si="29"/>
        <v>8647.7634279604281</v>
      </c>
      <c r="AF40" s="120">
        <f>AF38+V40*144</f>
        <v>29576.481316200981</v>
      </c>
      <c r="AG40" s="121">
        <f>$AG$38+Y40</f>
        <v>1116.0176332922624</v>
      </c>
    </row>
    <row r="41" spans="1:33">
      <c r="A41" t="s">
        <v>110</v>
      </c>
      <c r="B41" s="34">
        <f>system_loss_selected</f>
        <v>0.2</v>
      </c>
      <c r="C41" s="7"/>
      <c r="D41" s="7"/>
      <c r="E41" s="7"/>
      <c r="F41" s="7"/>
      <c r="I41" s="147" t="s">
        <v>49</v>
      </c>
      <c r="J41" s="119">
        <f>mbtu/(year_heating*(1-$B$40))</f>
        <v>89742.465415019731</v>
      </c>
      <c r="K41" s="120">
        <f>J41/90</f>
        <v>997.13850461133029</v>
      </c>
      <c r="L41" s="38" t="s">
        <v>68</v>
      </c>
      <c r="M41" s="38">
        <v>0</v>
      </c>
      <c r="N41" s="126">
        <f>K41*pro_rate</f>
        <v>2492.8462615283256</v>
      </c>
      <c r="O41" s="120">
        <f>IF(cooling="none",0,IF(cooling="window ac",$O$35/$S$17*cool_percent,$O$35/$S$17))</f>
        <v>10670.564727272726</v>
      </c>
      <c r="P41" s="120">
        <f>$O$39/3.412/(1-$B$41)</f>
        <v>3909.204545454545</v>
      </c>
      <c r="Q41" s="126">
        <f t="shared" si="25"/>
        <v>664.56477272727273</v>
      </c>
      <c r="R41" s="120">
        <f t="shared" si="26"/>
        <v>100413.03014229245</v>
      </c>
      <c r="S41" s="120">
        <f t="shared" si="30"/>
        <v>3909.204545454545</v>
      </c>
      <c r="T41" s="121">
        <f t="shared" si="27"/>
        <v>3157.4110342555982</v>
      </c>
      <c r="U41" s="119">
        <f>$B$44/(year_heating*(1-$B$40))/90</f>
        <v>498.0808423913042</v>
      </c>
      <c r="V41" s="120">
        <f>$B$43/(year_heating*(1-$B$40))/90</f>
        <v>0.78124999999999989</v>
      </c>
      <c r="W41" s="38" t="s">
        <v>68</v>
      </c>
      <c r="X41" s="126">
        <f>U41*pro_rate</f>
        <v>1245.2021059782605</v>
      </c>
      <c r="Y41" s="126">
        <f>V41*pro_rate</f>
        <v>1.9531249999999998</v>
      </c>
      <c r="Z41" s="119">
        <f>Z38</f>
        <v>6557.6290009838958</v>
      </c>
      <c r="AA41" s="120">
        <f t="shared" si="28"/>
        <v>8647.7634279604281</v>
      </c>
      <c r="AB41" s="120">
        <f>AB38+U41*90</f>
        <v>74333.444631418359</v>
      </c>
      <c r="AC41" s="121">
        <f>$AC$38+X41</f>
        <v>2359.999036145523</v>
      </c>
      <c r="AD41" s="119">
        <f>AD38</f>
        <v>6557.6290009838958</v>
      </c>
      <c r="AE41" s="120">
        <f t="shared" si="29"/>
        <v>8647.7634279604281</v>
      </c>
      <c r="AF41" s="120">
        <f>AF38+V41*90</f>
        <v>29576.481316200981</v>
      </c>
      <c r="AG41" s="121">
        <f>$AG$38+Y41</f>
        <v>1116.7500551672624</v>
      </c>
    </row>
    <row r="42" spans="1:33">
      <c r="A42" t="s">
        <v>60</v>
      </c>
      <c r="B42" s="34">
        <f>INDEX(data,MATCH(me_unit,unit,0),MATCH("loss",top,0))</f>
        <v>0.05</v>
      </c>
      <c r="E42" s="7"/>
      <c r="F42" s="7"/>
      <c r="I42" s="147" t="s">
        <v>80</v>
      </c>
      <c r="J42" s="119">
        <f>mbtu/(year_heating*(1-$B$40))</f>
        <v>89742.465415019731</v>
      </c>
      <c r="K42" s="120">
        <f>J42/100</f>
        <v>897.42465415019728</v>
      </c>
      <c r="L42" s="38" t="s">
        <v>69</v>
      </c>
      <c r="M42" s="38">
        <v>0</v>
      </c>
      <c r="N42" s="126">
        <f>K42*gas_rate</f>
        <v>717.9397233201579</v>
      </c>
      <c r="O42" s="120">
        <f>IF(cooling="none",0,IF(cooling="window ac",$O$35/$S$17*cool_percent,$O$35/$S$17))</f>
        <v>10670.564727272726</v>
      </c>
      <c r="P42" s="120">
        <f>$O$39/3.412/(1-$B$41)</f>
        <v>3909.204545454545</v>
      </c>
      <c r="Q42" s="126">
        <f t="shared" si="25"/>
        <v>664.56477272727273</v>
      </c>
      <c r="R42" s="120">
        <f t="shared" si="26"/>
        <v>100413.03014229245</v>
      </c>
      <c r="S42" s="120">
        <f t="shared" si="30"/>
        <v>3909.204545454545</v>
      </c>
      <c r="T42" s="121">
        <f t="shared" si="27"/>
        <v>1382.5044960474306</v>
      </c>
      <c r="U42" s="119">
        <f>$B$44/(year_heating*(1-$B$40))/100</f>
        <v>448.27275815217376</v>
      </c>
      <c r="V42" s="120">
        <f>$B$43/(year_heating*(1-$B$40))/100</f>
        <v>0.70312499999999989</v>
      </c>
      <c r="W42" s="38" t="s">
        <v>69</v>
      </c>
      <c r="X42" s="126">
        <f>U42*gas_rate</f>
        <v>358.61820652173901</v>
      </c>
      <c r="Y42" s="126">
        <f>V42*gas_rate</f>
        <v>0.56249999999999989</v>
      </c>
      <c r="Z42" s="119">
        <f>Z38</f>
        <v>6557.6290009838958</v>
      </c>
      <c r="AA42" s="120">
        <f t="shared" si="28"/>
        <v>8647.7634279604281</v>
      </c>
      <c r="AB42" s="120">
        <f>AB38+U42*100</f>
        <v>74333.444631418359</v>
      </c>
      <c r="AC42" s="121">
        <f>$AC$38+X42</f>
        <v>1473.4151366890014</v>
      </c>
      <c r="AD42" s="119">
        <f>AD38</f>
        <v>6557.6290009838958</v>
      </c>
      <c r="AE42" s="120">
        <f t="shared" si="29"/>
        <v>8647.7634279604281</v>
      </c>
      <c r="AF42" s="120">
        <f>AF38+V42*100</f>
        <v>29576.481316200981</v>
      </c>
      <c r="AG42" s="121">
        <f>$AG$38+Y42</f>
        <v>1115.3594301672624</v>
      </c>
    </row>
    <row r="43" spans="1:33">
      <c r="A43" s="184" t="s">
        <v>268</v>
      </c>
      <c r="B43" s="7">
        <f>SUM(J5:J10)</f>
        <v>45</v>
      </c>
      <c r="C43" s="7"/>
      <c r="D43" s="7"/>
      <c r="E43" s="7"/>
      <c r="F43" s="7"/>
      <c r="I43" s="147" t="s">
        <v>61</v>
      </c>
      <c r="J43" s="122">
        <f>mbtu/(1-$B$40)</f>
        <v>71793.972332015794</v>
      </c>
      <c r="K43" s="123">
        <f>J43/(3.412*(B39/3.412))</f>
        <v>11765.277376913431</v>
      </c>
      <c r="L43" s="127" t="s">
        <v>5</v>
      </c>
      <c r="M43" s="123">
        <f>K43</f>
        <v>11765.277376913431</v>
      </c>
      <c r="N43" s="128">
        <f>K43*elect_rate</f>
        <v>2000.0971540752835</v>
      </c>
      <c r="O43" s="123">
        <f>IF(cooling="none",0,IF(cooling="window ac",$O$35/$S$17*cool_percent,$O$35/$S$17))</f>
        <v>10670.564727272726</v>
      </c>
      <c r="P43" s="123">
        <f>$O$39/3.412/(1-$B$41)</f>
        <v>3909.204545454545</v>
      </c>
      <c r="Q43" s="128">
        <f t="shared" si="25"/>
        <v>664.56477272727273</v>
      </c>
      <c r="R43" s="123">
        <f t="shared" si="26"/>
        <v>82464.537059288516</v>
      </c>
      <c r="S43" s="123">
        <f>K43+P43</f>
        <v>15674.481922367977</v>
      </c>
      <c r="T43" s="124">
        <f t="shared" si="27"/>
        <v>2664.6619268025561</v>
      </c>
      <c r="U43" s="122">
        <f>B44/3.412</f>
        <v>8408.3987461134602</v>
      </c>
      <c r="V43" s="123">
        <f>B43/3.412</f>
        <v>13.188745603751466</v>
      </c>
      <c r="W43" s="127" t="s">
        <v>5</v>
      </c>
      <c r="X43" s="128">
        <f>U43*elect_rate</f>
        <v>1429.4277868392883</v>
      </c>
      <c r="Y43" s="128">
        <f>V43*elect_rate</f>
        <v>2.2420867526377495</v>
      </c>
      <c r="Z43" s="122">
        <f>Z38+U43</f>
        <v>14966.027747097356</v>
      </c>
      <c r="AA43" s="123">
        <f t="shared" si="28"/>
        <v>17056.162174073888</v>
      </c>
      <c r="AB43" s="123">
        <f>AB38+U43*3.412</f>
        <v>58195.625337940102</v>
      </c>
      <c r="AC43" s="124">
        <f>$AC$38+X43</f>
        <v>2544.2247170065507</v>
      </c>
      <c r="AD43" s="122">
        <f>AD38+V43</f>
        <v>6570.817746587647</v>
      </c>
      <c r="AE43" s="123">
        <f t="shared" si="29"/>
        <v>8660.9521735641792</v>
      </c>
      <c r="AF43" s="123">
        <f>AF38+V43*3.412</f>
        <v>29551.168816200981</v>
      </c>
      <c r="AG43" s="124">
        <f>$AG$38+Y43</f>
        <v>1117.0390169199002</v>
      </c>
    </row>
    <row r="44" spans="1:33">
      <c r="A44" s="35" t="s">
        <v>70</v>
      </c>
      <c r="B44" s="7">
        <f>SUM(J5:J15)</f>
        <v>28689.456521739128</v>
      </c>
      <c r="E44" s="7"/>
      <c r="F44" s="7"/>
    </row>
    <row r="45" spans="1:33">
      <c r="A45" t="s">
        <v>64</v>
      </c>
      <c r="B45" s="18">
        <f>SUM(E5:E30)</f>
        <v>1888.0869565217395</v>
      </c>
      <c r="C45" s="7"/>
      <c r="D45" s="7"/>
      <c r="E45" s="7"/>
      <c r="F45" s="7"/>
    </row>
    <row r="46" spans="1:33">
      <c r="A46" s="35" t="s">
        <v>279</v>
      </c>
      <c r="B46" s="7">
        <f>SUMIF(B5:B34,"&lt;="&amp;HP_BU,D5:D34)</f>
        <v>781</v>
      </c>
      <c r="C46" s="34">
        <f>($B$45-B46)/$B$45</f>
        <v>0.5863537972643118</v>
      </c>
      <c r="D46" s="34">
        <f>1-C46</f>
        <v>0.4136462027356882</v>
      </c>
      <c r="E46" s="7"/>
      <c r="F46" s="7"/>
    </row>
    <row r="47" spans="1:33">
      <c r="A47" s="35" t="s">
        <v>62</v>
      </c>
      <c r="B47" s="7">
        <f>SUM(D5:D15)</f>
        <v>1185</v>
      </c>
      <c r="C47" s="34">
        <f>($B$45-B47)/$B$45</f>
        <v>0.37238060148298263</v>
      </c>
      <c r="D47" s="34">
        <f>1-C47</f>
        <v>0.62761939851701731</v>
      </c>
      <c r="E47" s="7"/>
      <c r="F47" s="7"/>
    </row>
    <row r="48" spans="1:33">
      <c r="A48" s="35" t="s">
        <v>156</v>
      </c>
      <c r="B48">
        <f>SUMIF(K5:K34,"&gt;0",J5:J34)</f>
        <v>57435.177865612641</v>
      </c>
      <c r="E48" s="7"/>
      <c r="F48" s="7"/>
    </row>
    <row r="49" spans="1:6">
      <c r="A49" s="35" t="s">
        <v>262</v>
      </c>
      <c r="B49" s="7">
        <f>SUM(J5:J15)</f>
        <v>28689.456521739128</v>
      </c>
      <c r="C49" s="7" t="s">
        <v>51</v>
      </c>
      <c r="D49" s="7"/>
      <c r="E49" s="7"/>
      <c r="F49" s="7"/>
    </row>
    <row r="50" spans="1:6">
      <c r="C50" s="7"/>
      <c r="D50" s="7"/>
      <c r="E50" s="7"/>
      <c r="F50" s="7"/>
    </row>
    <row r="51" spans="1:6">
      <c r="C51" s="7"/>
      <c r="D51" s="7"/>
    </row>
    <row r="52" spans="1:6">
      <c r="C52" s="7"/>
    </row>
    <row r="54" spans="1:6">
      <c r="B54">
        <v>40</v>
      </c>
    </row>
    <row r="55" spans="1:6">
      <c r="B55" s="184">
        <f>B54-5</f>
        <v>35</v>
      </c>
    </row>
    <row r="56" spans="1:6">
      <c r="B56" s="184">
        <f t="shared" ref="B56:B62" si="31">B55-5</f>
        <v>30</v>
      </c>
    </row>
    <row r="57" spans="1:6">
      <c r="B57" s="184">
        <f t="shared" si="31"/>
        <v>25</v>
      </c>
    </row>
    <row r="58" spans="1:6">
      <c r="B58" s="184">
        <f t="shared" si="31"/>
        <v>20</v>
      </c>
    </row>
    <row r="59" spans="1:6">
      <c r="B59" s="184">
        <f t="shared" si="31"/>
        <v>15</v>
      </c>
    </row>
    <row r="60" spans="1:6">
      <c r="B60" s="184">
        <f t="shared" si="31"/>
        <v>10</v>
      </c>
    </row>
    <row r="61" spans="1:6">
      <c r="B61" s="184">
        <f t="shared" si="31"/>
        <v>5</v>
      </c>
    </row>
    <row r="62" spans="1:6">
      <c r="B62" s="184">
        <f t="shared" si="31"/>
        <v>0</v>
      </c>
    </row>
    <row r="63" spans="1:6">
      <c r="B63" s="184"/>
    </row>
    <row r="64" spans="1:6">
      <c r="B64" s="184"/>
    </row>
    <row r="65" spans="2:2">
      <c r="B65" s="184"/>
    </row>
    <row r="66" spans="2:2">
      <c r="B66" s="184"/>
    </row>
    <row r="67" spans="2:2">
      <c r="B67" s="184"/>
    </row>
    <row r="68" spans="2:2">
      <c r="B68" s="184"/>
    </row>
    <row r="69" spans="2:2">
      <c r="B69" s="184"/>
    </row>
    <row r="70" spans="2:2">
      <c r="B70" s="184"/>
    </row>
    <row r="71" spans="2:2">
      <c r="B71" s="184"/>
    </row>
    <row r="72" spans="2:2">
      <c r="B72" s="184"/>
    </row>
    <row r="73" spans="2:2">
      <c r="B73" s="184"/>
    </row>
    <row r="74" spans="2:2">
      <c r="B74" s="184"/>
    </row>
    <row r="75" spans="2:2">
      <c r="B75" s="184"/>
    </row>
    <row r="76" spans="2:2">
      <c r="B76" s="184"/>
    </row>
    <row r="77" spans="2:2">
      <c r="B77" s="184"/>
    </row>
    <row r="78" spans="2:2">
      <c r="B78" s="184"/>
    </row>
    <row r="79" spans="2:2">
      <c r="B79" s="184"/>
    </row>
    <row r="80" spans="2:2">
      <c r="B80" s="184"/>
    </row>
    <row r="81" spans="2:2">
      <c r="B81" s="184"/>
    </row>
    <row r="82" spans="2:2">
      <c r="B82" s="184"/>
    </row>
    <row r="83" spans="2:2">
      <c r="B83" s="184"/>
    </row>
    <row r="84" spans="2:2">
      <c r="B84" s="184"/>
    </row>
    <row r="85" spans="2:2">
      <c r="B85" s="184"/>
    </row>
    <row r="86" spans="2:2">
      <c r="B86" s="184"/>
    </row>
    <row r="87" spans="2:2">
      <c r="B87" s="184"/>
    </row>
    <row r="88" spans="2:2">
      <c r="B88" s="184"/>
    </row>
    <row r="89" spans="2:2">
      <c r="B89" s="184"/>
    </row>
    <row r="90" spans="2:2">
      <c r="B90" s="184"/>
    </row>
    <row r="91" spans="2:2">
      <c r="B91" s="184"/>
    </row>
    <row r="92" spans="2:2">
      <c r="B92" s="184"/>
    </row>
    <row r="93" spans="2:2">
      <c r="B93" s="184"/>
    </row>
  </sheetData>
  <mergeCells count="17">
    <mergeCell ref="AM3:AN3"/>
    <mergeCell ref="AO3:AP3"/>
    <mergeCell ref="AQ3:AR3"/>
    <mergeCell ref="AS3:AT3"/>
    <mergeCell ref="AU3:AV3"/>
    <mergeCell ref="AK3:AL3"/>
    <mergeCell ref="A4:B4"/>
    <mergeCell ref="R11:S11"/>
    <mergeCell ref="W3:X3"/>
    <mergeCell ref="Y3:Z3"/>
    <mergeCell ref="AB3:AC3"/>
    <mergeCell ref="AE3:AF3"/>
    <mergeCell ref="Y31:Z31"/>
    <mergeCell ref="R36:T36"/>
    <mergeCell ref="AG3:AH3"/>
    <mergeCell ref="AI3:AJ3"/>
    <mergeCell ref="Z36:AG3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0"/>
  <sheetViews>
    <sheetView workbookViewId="0">
      <selection activeCell="W22" sqref="W22"/>
    </sheetView>
  </sheetViews>
  <sheetFormatPr defaultRowHeight="14.5"/>
  <cols>
    <col min="1" max="1" width="10.1796875" bestFit="1" customWidth="1"/>
    <col min="5" max="5" width="14.81640625" bestFit="1" customWidth="1"/>
  </cols>
  <sheetData>
    <row r="1" spans="1:15">
      <c r="C1">
        <f>MIN(B3:B26)</f>
        <v>233</v>
      </c>
      <c r="D1">
        <v>2.5</v>
      </c>
    </row>
    <row r="2" spans="1:15">
      <c r="A2" t="s">
        <v>0</v>
      </c>
      <c r="B2" s="6" t="s">
        <v>5</v>
      </c>
      <c r="C2" t="s">
        <v>14</v>
      </c>
      <c r="D2" t="s">
        <v>6</v>
      </c>
      <c r="E2" t="s">
        <v>15</v>
      </c>
      <c r="H2" t="s">
        <v>1</v>
      </c>
      <c r="J2" t="s">
        <v>2</v>
      </c>
      <c r="K2" t="s">
        <v>3</v>
      </c>
    </row>
    <row r="3" spans="1:15">
      <c r="A3" s="3">
        <v>41941</v>
      </c>
      <c r="B3" s="2">
        <v>697</v>
      </c>
      <c r="C3">
        <f t="shared" ref="C3:C26" si="0">B3-$C$1</f>
        <v>464</v>
      </c>
      <c r="D3">
        <f t="shared" ref="D3:D26" si="1">C3/$D$1</f>
        <v>185.6</v>
      </c>
      <c r="E3">
        <f t="shared" ref="E3:E26" si="2">D3+$C$1</f>
        <v>418.6</v>
      </c>
      <c r="H3">
        <v>-25</v>
      </c>
      <c r="I3">
        <v>-20</v>
      </c>
      <c r="J3">
        <v>1</v>
      </c>
      <c r="K3">
        <v>1</v>
      </c>
      <c r="L3" s="5">
        <v>2</v>
      </c>
    </row>
    <row r="4" spans="1:15">
      <c r="A4" s="3">
        <v>41911</v>
      </c>
      <c r="B4" s="2">
        <v>530</v>
      </c>
      <c r="C4">
        <f t="shared" si="0"/>
        <v>297</v>
      </c>
      <c r="D4">
        <f t="shared" si="1"/>
        <v>118.8</v>
      </c>
      <c r="E4">
        <f t="shared" si="2"/>
        <v>351.8</v>
      </c>
      <c r="H4">
        <v>-20</v>
      </c>
      <c r="I4">
        <v>-15</v>
      </c>
      <c r="J4">
        <v>3</v>
      </c>
      <c r="K4">
        <v>3</v>
      </c>
      <c r="L4" s="5">
        <v>2</v>
      </c>
    </row>
    <row r="5" spans="1:15">
      <c r="A5" s="3">
        <v>41879</v>
      </c>
      <c r="B5" s="2">
        <v>543</v>
      </c>
      <c r="C5">
        <f t="shared" si="0"/>
        <v>310</v>
      </c>
      <c r="D5">
        <f t="shared" si="1"/>
        <v>124</v>
      </c>
      <c r="E5">
        <f t="shared" si="2"/>
        <v>357</v>
      </c>
      <c r="H5">
        <v>-15</v>
      </c>
      <c r="I5">
        <v>-10</v>
      </c>
      <c r="J5">
        <v>3</v>
      </c>
      <c r="K5">
        <v>3</v>
      </c>
      <c r="L5" s="5">
        <v>2</v>
      </c>
    </row>
    <row r="6" spans="1:15">
      <c r="A6" s="3">
        <v>41849</v>
      </c>
      <c r="B6" s="2">
        <v>865</v>
      </c>
      <c r="C6">
        <f t="shared" si="0"/>
        <v>632</v>
      </c>
      <c r="D6">
        <f t="shared" si="1"/>
        <v>252.8</v>
      </c>
      <c r="E6">
        <f t="shared" si="2"/>
        <v>485.8</v>
      </c>
      <c r="H6">
        <v>-10</v>
      </c>
      <c r="I6">
        <v>-5</v>
      </c>
      <c r="J6">
        <v>29</v>
      </c>
      <c r="K6">
        <v>32</v>
      </c>
      <c r="L6" s="5">
        <v>2</v>
      </c>
    </row>
    <row r="7" spans="1:15">
      <c r="A7" s="3">
        <v>41816</v>
      </c>
      <c r="B7" s="2">
        <v>482</v>
      </c>
      <c r="C7">
        <f t="shared" si="0"/>
        <v>249</v>
      </c>
      <c r="D7">
        <f t="shared" si="1"/>
        <v>99.6</v>
      </c>
      <c r="E7">
        <f t="shared" si="2"/>
        <v>332.6</v>
      </c>
      <c r="H7">
        <v>-5</v>
      </c>
      <c r="I7">
        <v>0</v>
      </c>
      <c r="J7">
        <v>62</v>
      </c>
      <c r="K7">
        <v>87</v>
      </c>
      <c r="L7" s="5">
        <v>2</v>
      </c>
    </row>
    <row r="8" spans="1:15">
      <c r="A8" s="3">
        <v>41788</v>
      </c>
      <c r="B8" s="2">
        <v>233</v>
      </c>
      <c r="C8">
        <f t="shared" si="0"/>
        <v>0</v>
      </c>
      <c r="D8">
        <f t="shared" si="1"/>
        <v>0</v>
      </c>
      <c r="E8">
        <f t="shared" si="2"/>
        <v>233</v>
      </c>
      <c r="H8">
        <v>0</v>
      </c>
      <c r="I8">
        <v>5</v>
      </c>
      <c r="J8">
        <v>113</v>
      </c>
      <c r="K8">
        <v>116</v>
      </c>
      <c r="L8" s="5">
        <v>2.1</v>
      </c>
      <c r="N8" t="s">
        <v>4</v>
      </c>
    </row>
    <row r="9" spans="1:15">
      <c r="A9" s="3">
        <v>41760</v>
      </c>
      <c r="B9" s="2">
        <v>1180</v>
      </c>
      <c r="C9">
        <f t="shared" si="0"/>
        <v>947</v>
      </c>
      <c r="D9">
        <f t="shared" si="1"/>
        <v>378.8</v>
      </c>
      <c r="E9">
        <f t="shared" si="2"/>
        <v>611.79999999999995</v>
      </c>
      <c r="H9">
        <v>5</v>
      </c>
      <c r="I9">
        <v>10</v>
      </c>
      <c r="J9">
        <v>111</v>
      </c>
      <c r="K9">
        <v>188</v>
      </c>
      <c r="L9" s="5">
        <v>2.2000000000000002</v>
      </c>
      <c r="N9">
        <v>47</v>
      </c>
      <c r="O9">
        <v>3.46</v>
      </c>
    </row>
    <row r="10" spans="1:15">
      <c r="A10" s="3">
        <v>41726</v>
      </c>
      <c r="B10" s="2">
        <v>2070</v>
      </c>
      <c r="C10">
        <f t="shared" si="0"/>
        <v>1837</v>
      </c>
      <c r="D10">
        <f t="shared" si="1"/>
        <v>734.8</v>
      </c>
      <c r="E10">
        <f t="shared" si="2"/>
        <v>967.8</v>
      </c>
      <c r="H10">
        <v>10</v>
      </c>
      <c r="I10">
        <v>15</v>
      </c>
      <c r="J10">
        <v>215</v>
      </c>
      <c r="K10">
        <v>269</v>
      </c>
      <c r="L10" s="5">
        <v>2.2999999999999998</v>
      </c>
      <c r="N10">
        <v>17</v>
      </c>
      <c r="O10" s="1">
        <v>2.5499999999999998</v>
      </c>
    </row>
    <row r="11" spans="1:15">
      <c r="A11" s="3">
        <v>41696</v>
      </c>
      <c r="B11" s="2">
        <v>2080</v>
      </c>
      <c r="C11">
        <f t="shared" si="0"/>
        <v>1847</v>
      </c>
      <c r="D11">
        <f t="shared" si="1"/>
        <v>738.8</v>
      </c>
      <c r="E11">
        <f t="shared" si="2"/>
        <v>971.8</v>
      </c>
      <c r="H11">
        <v>15</v>
      </c>
      <c r="I11">
        <v>20</v>
      </c>
      <c r="J11">
        <v>311</v>
      </c>
      <c r="K11">
        <v>294</v>
      </c>
      <c r="L11" s="5">
        <f>O10</f>
        <v>2.5499999999999998</v>
      </c>
    </row>
    <row r="12" spans="1:15">
      <c r="A12" s="3">
        <v>41667</v>
      </c>
      <c r="B12" s="2">
        <v>1870</v>
      </c>
      <c r="C12">
        <f t="shared" si="0"/>
        <v>1637</v>
      </c>
      <c r="D12">
        <f t="shared" si="1"/>
        <v>654.79999999999995</v>
      </c>
      <c r="E12">
        <f t="shared" si="2"/>
        <v>887.8</v>
      </c>
      <c r="H12">
        <v>20</v>
      </c>
      <c r="I12">
        <v>25</v>
      </c>
      <c r="J12">
        <v>342</v>
      </c>
      <c r="K12">
        <v>370</v>
      </c>
      <c r="L12" s="5">
        <f>($L$17-$L$11)/6+L11</f>
        <v>2.7016666666666667</v>
      </c>
    </row>
    <row r="13" spans="1:15">
      <c r="A13" s="3">
        <v>41639</v>
      </c>
      <c r="B13" s="2">
        <v>2140</v>
      </c>
      <c r="C13">
        <f t="shared" si="0"/>
        <v>1907</v>
      </c>
      <c r="D13">
        <f t="shared" si="1"/>
        <v>762.8</v>
      </c>
      <c r="E13">
        <f t="shared" si="2"/>
        <v>995.8</v>
      </c>
      <c r="H13">
        <v>25</v>
      </c>
      <c r="I13">
        <v>30</v>
      </c>
      <c r="J13">
        <v>369</v>
      </c>
      <c r="K13">
        <v>489</v>
      </c>
      <c r="L13" s="5">
        <f>($L$17-$L$11)/6+L12</f>
        <v>2.8533333333333335</v>
      </c>
    </row>
    <row r="14" spans="1:15">
      <c r="A14" s="3">
        <v>41605</v>
      </c>
      <c r="B14" s="2">
        <v>1010</v>
      </c>
      <c r="C14">
        <f t="shared" si="0"/>
        <v>777</v>
      </c>
      <c r="D14">
        <f t="shared" si="1"/>
        <v>310.8</v>
      </c>
      <c r="E14">
        <f t="shared" si="2"/>
        <v>543.79999999999995</v>
      </c>
      <c r="H14">
        <v>30</v>
      </c>
      <c r="I14">
        <v>35</v>
      </c>
      <c r="J14">
        <v>578</v>
      </c>
      <c r="K14">
        <v>802</v>
      </c>
      <c r="L14" s="5">
        <f>($L$17-$L$11)/6+L13</f>
        <v>3.0050000000000003</v>
      </c>
    </row>
    <row r="15" spans="1:15">
      <c r="A15" s="3">
        <v>41577</v>
      </c>
      <c r="B15" s="2">
        <v>430</v>
      </c>
      <c r="C15">
        <f t="shared" si="0"/>
        <v>197</v>
      </c>
      <c r="D15">
        <f t="shared" si="1"/>
        <v>78.8</v>
      </c>
      <c r="E15">
        <f t="shared" si="2"/>
        <v>311.8</v>
      </c>
      <c r="H15">
        <v>35</v>
      </c>
      <c r="I15">
        <v>40</v>
      </c>
      <c r="J15">
        <v>813</v>
      </c>
      <c r="K15">
        <v>934</v>
      </c>
      <c r="L15" s="5">
        <f>($L$17-$L$11)/6+L14</f>
        <v>3.1566666666666672</v>
      </c>
    </row>
    <row r="16" spans="1:15">
      <c r="A16" s="3">
        <v>41547</v>
      </c>
      <c r="B16" s="2">
        <v>310</v>
      </c>
      <c r="C16">
        <f t="shared" si="0"/>
        <v>77</v>
      </c>
      <c r="D16">
        <f t="shared" si="1"/>
        <v>30.8</v>
      </c>
      <c r="E16">
        <f t="shared" si="2"/>
        <v>263.8</v>
      </c>
      <c r="H16">
        <v>40</v>
      </c>
      <c r="I16">
        <v>45</v>
      </c>
      <c r="J16">
        <v>861</v>
      </c>
      <c r="K16">
        <v>789</v>
      </c>
      <c r="L16" s="5">
        <f>($L$17-$L$11)/6+L15</f>
        <v>3.308333333333334</v>
      </c>
    </row>
    <row r="17" spans="1:12">
      <c r="A17" s="3">
        <v>41515</v>
      </c>
      <c r="B17" s="2">
        <v>310</v>
      </c>
      <c r="C17">
        <f t="shared" si="0"/>
        <v>77</v>
      </c>
      <c r="D17">
        <f t="shared" si="1"/>
        <v>30.8</v>
      </c>
      <c r="E17">
        <f t="shared" si="2"/>
        <v>263.8</v>
      </c>
      <c r="H17">
        <v>45</v>
      </c>
      <c r="I17">
        <v>50</v>
      </c>
      <c r="J17">
        <v>683</v>
      </c>
      <c r="K17">
        <v>733</v>
      </c>
      <c r="L17" s="5">
        <f>O9</f>
        <v>3.46</v>
      </c>
    </row>
    <row r="18" spans="1:12">
      <c r="A18" s="3">
        <v>41484</v>
      </c>
      <c r="B18" s="2">
        <v>670</v>
      </c>
      <c r="C18">
        <f t="shared" si="0"/>
        <v>437</v>
      </c>
      <c r="D18">
        <f t="shared" si="1"/>
        <v>174.8</v>
      </c>
      <c r="E18">
        <f t="shared" si="2"/>
        <v>407.8</v>
      </c>
      <c r="H18">
        <v>50</v>
      </c>
      <c r="I18">
        <v>55</v>
      </c>
      <c r="J18">
        <v>620</v>
      </c>
      <c r="K18">
        <v>779</v>
      </c>
      <c r="L18" s="5">
        <f>($L$20-$L$17)/3+L17</f>
        <v>3.64</v>
      </c>
    </row>
    <row r="19" spans="1:12">
      <c r="A19" s="3">
        <v>41452</v>
      </c>
      <c r="B19" s="2">
        <v>420</v>
      </c>
      <c r="C19">
        <f t="shared" si="0"/>
        <v>187</v>
      </c>
      <c r="D19">
        <f t="shared" si="1"/>
        <v>74.8</v>
      </c>
      <c r="E19">
        <f t="shared" si="2"/>
        <v>307.8</v>
      </c>
      <c r="H19">
        <v>55</v>
      </c>
      <c r="I19">
        <v>60</v>
      </c>
      <c r="J19">
        <v>826</v>
      </c>
      <c r="K19">
        <v>874</v>
      </c>
      <c r="L19" s="5">
        <f>($L$20-$L$17)/3+L18</f>
        <v>3.8200000000000003</v>
      </c>
    </row>
    <row r="20" spans="1:12">
      <c r="A20" s="3">
        <v>41424</v>
      </c>
      <c r="B20" s="2">
        <v>350</v>
      </c>
      <c r="C20">
        <f t="shared" si="0"/>
        <v>117</v>
      </c>
      <c r="D20">
        <f t="shared" si="1"/>
        <v>46.8</v>
      </c>
      <c r="E20">
        <f t="shared" si="2"/>
        <v>279.8</v>
      </c>
      <c r="H20">
        <v>60</v>
      </c>
      <c r="I20">
        <v>65</v>
      </c>
      <c r="J20">
        <v>829</v>
      </c>
      <c r="K20">
        <v>922</v>
      </c>
      <c r="L20" s="5">
        <v>4</v>
      </c>
    </row>
    <row r="21" spans="1:12">
      <c r="A21" s="3">
        <v>41394</v>
      </c>
      <c r="B21" s="2">
        <v>740</v>
      </c>
      <c r="C21">
        <f t="shared" si="0"/>
        <v>507</v>
      </c>
      <c r="D21">
        <f t="shared" si="1"/>
        <v>202.8</v>
      </c>
      <c r="E21">
        <f t="shared" si="2"/>
        <v>435.8</v>
      </c>
      <c r="H21">
        <v>65</v>
      </c>
      <c r="I21">
        <v>70</v>
      </c>
      <c r="J21">
        <v>744</v>
      </c>
      <c r="K21">
        <v>679</v>
      </c>
      <c r="L21" s="5">
        <v>4</v>
      </c>
    </row>
    <row r="22" spans="1:12">
      <c r="A22" s="3">
        <v>41365</v>
      </c>
      <c r="B22" s="2">
        <v>1970</v>
      </c>
      <c r="C22">
        <f t="shared" si="0"/>
        <v>1737</v>
      </c>
      <c r="D22">
        <f t="shared" si="1"/>
        <v>694.8</v>
      </c>
      <c r="E22">
        <f t="shared" si="2"/>
        <v>927.8</v>
      </c>
      <c r="H22">
        <v>70</v>
      </c>
      <c r="I22">
        <v>75</v>
      </c>
      <c r="J22">
        <v>495</v>
      </c>
      <c r="K22">
        <v>364</v>
      </c>
      <c r="L22" s="5">
        <v>4</v>
      </c>
    </row>
    <row r="23" spans="1:12">
      <c r="A23" s="3">
        <v>41332</v>
      </c>
      <c r="B23" s="2">
        <v>2460</v>
      </c>
      <c r="C23">
        <f t="shared" si="0"/>
        <v>2227</v>
      </c>
      <c r="D23">
        <f t="shared" si="1"/>
        <v>890.8</v>
      </c>
      <c r="E23">
        <f t="shared" si="2"/>
        <v>1123.8</v>
      </c>
      <c r="H23">
        <v>75</v>
      </c>
      <c r="I23">
        <v>80</v>
      </c>
      <c r="J23">
        <v>391</v>
      </c>
      <c r="K23">
        <v>32</v>
      </c>
      <c r="L23" s="5">
        <v>4</v>
      </c>
    </row>
    <row r="24" spans="1:12">
      <c r="A24" s="3">
        <v>41302</v>
      </c>
      <c r="B24" s="2">
        <v>3110</v>
      </c>
      <c r="C24">
        <f t="shared" si="0"/>
        <v>2877</v>
      </c>
      <c r="D24">
        <f t="shared" si="1"/>
        <v>1150.8</v>
      </c>
      <c r="E24">
        <f t="shared" si="2"/>
        <v>1383.8</v>
      </c>
      <c r="H24">
        <v>80</v>
      </c>
      <c r="I24">
        <v>85</v>
      </c>
      <c r="J24">
        <v>293</v>
      </c>
      <c r="K24">
        <v>0</v>
      </c>
      <c r="L24" s="5">
        <v>4</v>
      </c>
    </row>
    <row r="25" spans="1:12">
      <c r="A25" s="3">
        <v>41274</v>
      </c>
      <c r="B25" s="2">
        <v>1170</v>
      </c>
      <c r="C25">
        <f t="shared" si="0"/>
        <v>937</v>
      </c>
      <c r="D25">
        <f t="shared" si="1"/>
        <v>374.8</v>
      </c>
      <c r="E25">
        <f t="shared" si="2"/>
        <v>607.79999999999995</v>
      </c>
      <c r="H25">
        <v>85</v>
      </c>
      <c r="I25">
        <v>90</v>
      </c>
      <c r="J25">
        <v>61</v>
      </c>
      <c r="K25">
        <v>0</v>
      </c>
      <c r="L25" s="5">
        <v>4</v>
      </c>
    </row>
    <row r="26" spans="1:12">
      <c r="A26" s="3">
        <v>41241</v>
      </c>
      <c r="B26" s="2">
        <v>1600</v>
      </c>
      <c r="C26">
        <f t="shared" si="0"/>
        <v>1367</v>
      </c>
      <c r="D26">
        <f t="shared" si="1"/>
        <v>546.79999999999995</v>
      </c>
      <c r="E26">
        <f t="shared" si="2"/>
        <v>779.8</v>
      </c>
      <c r="H26">
        <v>90</v>
      </c>
      <c r="I26">
        <v>95</v>
      </c>
      <c r="J26">
        <v>7</v>
      </c>
      <c r="K26">
        <v>0</v>
      </c>
      <c r="L26" s="5">
        <v>4</v>
      </c>
    </row>
    <row r="27" spans="1:12">
      <c r="A27" s="3"/>
      <c r="B27" s="4">
        <f>SUM(B3:B26)</f>
        <v>27240</v>
      </c>
      <c r="C27" s="4">
        <f t="shared" ref="C27:E27" si="3">SUM(C3:C26)</f>
        <v>21648</v>
      </c>
      <c r="D27" s="4">
        <f t="shared" si="3"/>
        <v>8659.2000000000025</v>
      </c>
      <c r="E27" s="4">
        <f t="shared" si="3"/>
        <v>14251.199999999995</v>
      </c>
      <c r="H27">
        <v>95</v>
      </c>
      <c r="I27">
        <v>100</v>
      </c>
      <c r="J27">
        <v>0</v>
      </c>
      <c r="K27">
        <v>0</v>
      </c>
      <c r="L27" s="5">
        <v>4</v>
      </c>
    </row>
    <row r="28" spans="1:12">
      <c r="B28">
        <f>B27-E27</f>
        <v>12988.800000000005</v>
      </c>
      <c r="C28" s="1">
        <f>B28/C27</f>
        <v>0.6000000000000002</v>
      </c>
      <c r="H28">
        <v>100</v>
      </c>
      <c r="I28">
        <v>105</v>
      </c>
      <c r="J28">
        <v>0</v>
      </c>
      <c r="K28">
        <v>0</v>
      </c>
      <c r="L28" s="5">
        <v>4</v>
      </c>
    </row>
    <row r="29" spans="1:12">
      <c r="B29">
        <f>B28/B27</f>
        <v>0.47682819383259928</v>
      </c>
      <c r="H29">
        <v>105</v>
      </c>
      <c r="I29">
        <v>110</v>
      </c>
      <c r="J29">
        <v>0</v>
      </c>
      <c r="K29">
        <v>0</v>
      </c>
      <c r="L29" s="5">
        <v>4</v>
      </c>
    </row>
    <row r="30" spans="1:12">
      <c r="J30">
        <v>8760</v>
      </c>
      <c r="K30">
        <v>8760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99"/>
  <sheetViews>
    <sheetView zoomScale="85" zoomScaleNormal="85" workbookViewId="0">
      <selection activeCell="O14" sqref="O14"/>
    </sheetView>
  </sheetViews>
  <sheetFormatPr defaultColWidth="9.1796875" defaultRowHeight="14"/>
  <cols>
    <col min="1" max="1" width="30" style="12" customWidth="1"/>
    <col min="2" max="3" width="9.81640625" style="12" bestFit="1" customWidth="1"/>
    <col min="4" max="6" width="9.26953125" style="12" bestFit="1" customWidth="1"/>
    <col min="7" max="8" width="9.26953125" style="12" customWidth="1"/>
    <col min="9" max="11" width="9.1796875" style="12"/>
    <col min="12" max="12" width="10.1796875" style="12" customWidth="1"/>
    <col min="13" max="13" width="11.1796875" style="12" customWidth="1"/>
    <col min="14" max="15" width="9.1796875" style="12"/>
    <col min="16" max="16" width="10" style="12" bestFit="1" customWidth="1"/>
    <col min="17" max="20" width="9.1796875" style="12"/>
    <col min="21" max="21" width="20.453125" style="12" customWidth="1"/>
    <col min="22" max="22" width="14.26953125" style="12" customWidth="1"/>
    <col min="23" max="23" width="11.453125" style="12" customWidth="1"/>
    <col min="24" max="24" width="12" style="12" customWidth="1"/>
    <col min="25" max="25" width="9.1796875" style="12"/>
    <col min="26" max="26" width="11.26953125" style="12" bestFit="1" customWidth="1"/>
    <col min="27" max="16384" width="9.1796875" style="12"/>
  </cols>
  <sheetData>
    <row r="1" spans="1:27" ht="14.5">
      <c r="B1" s="478" t="s">
        <v>44</v>
      </c>
      <c r="C1" s="478"/>
      <c r="D1" s="478" t="s">
        <v>7</v>
      </c>
      <c r="E1" s="478"/>
      <c r="F1" s="478"/>
      <c r="G1" s="478"/>
      <c r="H1" s="478"/>
      <c r="I1" s="478" t="s">
        <v>45</v>
      </c>
      <c r="J1" s="478"/>
      <c r="L1" s="478"/>
      <c r="M1" s="478"/>
      <c r="R1" s="38" t="s">
        <v>73</v>
      </c>
      <c r="S1" s="39" t="s">
        <v>74</v>
      </c>
      <c r="T1" s="39" t="s">
        <v>75</v>
      </c>
      <c r="U1" s="38" t="s">
        <v>76</v>
      </c>
      <c r="V1" s="38" t="s">
        <v>76</v>
      </c>
      <c r="W1" s="38" t="s">
        <v>77</v>
      </c>
      <c r="X1" s="39" t="s">
        <v>78</v>
      </c>
      <c r="Z1" s="477" t="s">
        <v>45</v>
      </c>
      <c r="AA1" s="477"/>
    </row>
    <row r="2" spans="1:27">
      <c r="A2" s="8" t="s">
        <v>43</v>
      </c>
      <c r="B2" s="8" t="s">
        <v>22</v>
      </c>
      <c r="C2" s="8" t="s">
        <v>20</v>
      </c>
      <c r="D2" s="13">
        <v>47</v>
      </c>
      <c r="E2" s="13">
        <v>17</v>
      </c>
      <c r="F2" s="13">
        <v>5</v>
      </c>
      <c r="G2" s="13">
        <v>95</v>
      </c>
      <c r="H2" s="13" t="s">
        <v>23</v>
      </c>
      <c r="I2" s="12" t="s">
        <v>23</v>
      </c>
      <c r="J2" s="12" t="s">
        <v>24</v>
      </c>
      <c r="K2" s="12" t="s">
        <v>59</v>
      </c>
      <c r="L2" s="12">
        <v>17</v>
      </c>
      <c r="M2" s="12">
        <v>5</v>
      </c>
      <c r="N2" s="12" t="s">
        <v>151</v>
      </c>
      <c r="O2" s="354" t="s">
        <v>345</v>
      </c>
      <c r="P2" s="12" t="s">
        <v>153</v>
      </c>
      <c r="Q2" s="12" t="s">
        <v>205</v>
      </c>
      <c r="R2" s="40" t="s">
        <v>73</v>
      </c>
      <c r="S2" s="41" t="s">
        <v>74</v>
      </c>
      <c r="T2" s="41" t="s">
        <v>79</v>
      </c>
      <c r="U2" s="42" t="s">
        <v>80</v>
      </c>
      <c r="V2" s="42" t="s">
        <v>49</v>
      </c>
      <c r="W2" s="42" t="s">
        <v>48</v>
      </c>
      <c r="X2" s="41" t="s">
        <v>61</v>
      </c>
      <c r="Z2" s="50" t="s">
        <v>87</v>
      </c>
      <c r="AA2" s="51">
        <v>0</v>
      </c>
    </row>
    <row r="3" spans="1:27" ht="14.5">
      <c r="A3" s="14" t="s">
        <v>288</v>
      </c>
      <c r="B3" s="15">
        <v>6000</v>
      </c>
      <c r="C3" s="15">
        <v>8700</v>
      </c>
      <c r="D3" s="247">
        <v>4.68</v>
      </c>
      <c r="E3" s="247">
        <v>3.46</v>
      </c>
      <c r="F3" s="247">
        <v>2.81</v>
      </c>
      <c r="G3" s="16">
        <f t="shared" ref="G3:G11" si="0">J3/3.412</f>
        <v>5.5685814771395075</v>
      </c>
      <c r="H3" s="16">
        <f t="shared" ref="H3:H11" si="1">I3/3.412</f>
        <v>9.7010550996483005</v>
      </c>
      <c r="I3" s="16">
        <v>33.1</v>
      </c>
      <c r="J3" s="16">
        <v>19</v>
      </c>
      <c r="K3" s="16">
        <v>0.03</v>
      </c>
      <c r="L3" s="15">
        <v>8700</v>
      </c>
      <c r="M3" s="15">
        <v>8700</v>
      </c>
      <c r="N3" s="12" t="s">
        <v>152</v>
      </c>
      <c r="O3" s="355" t="s">
        <v>154</v>
      </c>
      <c r="P3" s="16">
        <v>-18</v>
      </c>
      <c r="Q3" s="12">
        <v>0.12</v>
      </c>
      <c r="R3" s="40" t="s">
        <v>81</v>
      </c>
      <c r="S3" s="41"/>
      <c r="T3" s="39" t="s">
        <v>75</v>
      </c>
      <c r="U3" s="39" t="s">
        <v>82</v>
      </c>
      <c r="V3" s="39" t="s">
        <v>82</v>
      </c>
      <c r="W3" s="39" t="s">
        <v>82</v>
      </c>
      <c r="X3" s="39" t="s">
        <v>75</v>
      </c>
      <c r="Z3" s="9" t="s">
        <v>88</v>
      </c>
      <c r="AA3" s="51">
        <v>0</v>
      </c>
    </row>
    <row r="4" spans="1:27" ht="14.5">
      <c r="A4" s="14" t="s">
        <v>11</v>
      </c>
      <c r="B4" s="15">
        <v>9000</v>
      </c>
      <c r="C4" s="15">
        <v>10900</v>
      </c>
      <c r="D4" s="16">
        <v>4.5</v>
      </c>
      <c r="E4" s="16">
        <v>3.2727627979679599</v>
      </c>
      <c r="F4" s="16">
        <v>2.37</v>
      </c>
      <c r="G4" s="16">
        <f t="shared" si="0"/>
        <v>4.718640093786636</v>
      </c>
      <c r="H4" s="16">
        <f t="shared" si="1"/>
        <v>8.9390386869871037</v>
      </c>
      <c r="I4" s="16">
        <v>30.5</v>
      </c>
      <c r="J4" s="16">
        <v>16.100000000000001</v>
      </c>
      <c r="K4" s="16">
        <v>0.03</v>
      </c>
      <c r="L4" s="15">
        <v>10900</v>
      </c>
      <c r="M4" s="15">
        <v>10900</v>
      </c>
      <c r="N4" s="12" t="s">
        <v>152</v>
      </c>
      <c r="O4" s="355" t="s">
        <v>154</v>
      </c>
      <c r="P4" s="16">
        <v>-18</v>
      </c>
      <c r="Q4" s="12">
        <v>0.12</v>
      </c>
      <c r="R4" s="41" t="s">
        <v>83</v>
      </c>
      <c r="S4" s="39">
        <v>8</v>
      </c>
      <c r="T4" s="39">
        <v>3.4129999999999998</v>
      </c>
      <c r="U4" s="39">
        <v>0.75</v>
      </c>
      <c r="V4" s="39">
        <v>0.75</v>
      </c>
      <c r="W4" s="39">
        <v>0.7</v>
      </c>
      <c r="X4" s="39">
        <v>5.5</v>
      </c>
      <c r="Z4" s="9" t="s">
        <v>89</v>
      </c>
      <c r="AA4" s="52" t="e">
        <f>VLOOKUP(system_loss_selected,system_loss_table,2,FALSE)</f>
        <v>#N/A</v>
      </c>
    </row>
    <row r="5" spans="1:27" ht="14.5">
      <c r="A5" s="14" t="s">
        <v>12</v>
      </c>
      <c r="B5" s="15">
        <v>12000</v>
      </c>
      <c r="C5" s="15">
        <v>13600</v>
      </c>
      <c r="D5" s="16">
        <v>4.2</v>
      </c>
      <c r="E5" s="16">
        <v>3.2564803959880164</v>
      </c>
      <c r="F5" s="16">
        <v>2.2144066692718511</v>
      </c>
      <c r="G5" s="16">
        <f t="shared" si="0"/>
        <v>4.0445486518171165</v>
      </c>
      <c r="H5" s="16">
        <f t="shared" si="1"/>
        <v>7.6494724501758506</v>
      </c>
      <c r="I5" s="16">
        <v>26.1</v>
      </c>
      <c r="J5" s="16">
        <v>13.8</v>
      </c>
      <c r="K5" s="16">
        <v>0.03</v>
      </c>
      <c r="L5" s="15">
        <v>13600</v>
      </c>
      <c r="M5" s="15">
        <v>13600</v>
      </c>
      <c r="N5" s="12" t="s">
        <v>152</v>
      </c>
      <c r="O5" s="355" t="s">
        <v>154</v>
      </c>
      <c r="P5" s="16">
        <v>-18</v>
      </c>
      <c r="Q5" s="12">
        <v>0.12</v>
      </c>
      <c r="R5" s="39">
        <v>1979</v>
      </c>
      <c r="S5" s="39">
        <v>8</v>
      </c>
      <c r="T5" s="39">
        <v>3.4129999999999998</v>
      </c>
      <c r="U5" s="39">
        <v>0.75</v>
      </c>
      <c r="V5" s="39">
        <v>0.75</v>
      </c>
      <c r="W5" s="39">
        <v>0.7</v>
      </c>
      <c r="X5" s="39">
        <v>5.5</v>
      </c>
    </row>
    <row r="6" spans="1:27" ht="14.5">
      <c r="A6" s="14" t="s">
        <v>13</v>
      </c>
      <c r="B6" s="15">
        <v>15000</v>
      </c>
      <c r="C6" s="15">
        <v>18000</v>
      </c>
      <c r="D6" s="16">
        <v>4.0599999999999996</v>
      </c>
      <c r="E6" s="16">
        <v>3.1607015608118982</v>
      </c>
      <c r="F6" s="16">
        <v>1.78</v>
      </c>
      <c r="G6" s="16">
        <f t="shared" si="0"/>
        <v>3.6635404454865181</v>
      </c>
      <c r="H6" s="16">
        <f t="shared" si="1"/>
        <v>6.4478311840562723</v>
      </c>
      <c r="I6" s="16">
        <v>22</v>
      </c>
      <c r="J6" s="16">
        <v>12.5</v>
      </c>
      <c r="K6" s="16">
        <v>0.03</v>
      </c>
      <c r="L6" s="15">
        <v>18000</v>
      </c>
      <c r="M6" s="15">
        <v>18000</v>
      </c>
      <c r="N6" s="12" t="s">
        <v>152</v>
      </c>
      <c r="O6" s="355" t="s">
        <v>154</v>
      </c>
      <c r="P6" s="16">
        <v>-18</v>
      </c>
      <c r="Q6" s="12">
        <v>0.12</v>
      </c>
      <c r="R6" s="39">
        <f t="shared" ref="R6:R36" si="2">R5+1</f>
        <v>1980</v>
      </c>
      <c r="S6" s="39">
        <v>8</v>
      </c>
      <c r="T6" s="39">
        <v>3.4129999999999998</v>
      </c>
      <c r="U6" s="39">
        <v>0.75</v>
      </c>
      <c r="V6" s="39">
        <v>0.75</v>
      </c>
      <c r="W6" s="39">
        <v>0.7</v>
      </c>
      <c r="X6" s="39">
        <v>5.5</v>
      </c>
      <c r="Z6" s="477" t="s">
        <v>90</v>
      </c>
      <c r="AA6" s="477"/>
    </row>
    <row r="7" spans="1:27" ht="14.5">
      <c r="A7" s="14" t="s">
        <v>292</v>
      </c>
      <c r="B7" s="15">
        <v>17200</v>
      </c>
      <c r="C7" s="15">
        <v>20300</v>
      </c>
      <c r="D7" s="16">
        <v>3.46</v>
      </c>
      <c r="E7" s="16">
        <v>3.04</v>
      </c>
      <c r="F7" s="247">
        <v>2.06</v>
      </c>
      <c r="G7" s="16">
        <f t="shared" si="0"/>
        <v>3.5169988276670576</v>
      </c>
      <c r="H7" s="16">
        <f t="shared" si="1"/>
        <v>6.1547479484173504</v>
      </c>
      <c r="I7" s="16">
        <v>21</v>
      </c>
      <c r="J7" s="16">
        <v>12</v>
      </c>
      <c r="K7" s="16">
        <v>0.03</v>
      </c>
      <c r="L7" s="15">
        <v>20300</v>
      </c>
      <c r="M7" s="15">
        <v>20300</v>
      </c>
      <c r="N7" s="12" t="s">
        <v>152</v>
      </c>
      <c r="O7" s="355" t="s">
        <v>154</v>
      </c>
      <c r="P7" s="16">
        <v>-18</v>
      </c>
      <c r="Q7" s="12">
        <v>0.12</v>
      </c>
      <c r="R7" s="39">
        <f t="shared" si="2"/>
        <v>1981</v>
      </c>
      <c r="S7" s="39">
        <v>8</v>
      </c>
      <c r="T7" s="39">
        <v>3.4129999999999998</v>
      </c>
      <c r="U7" s="39">
        <v>0.75</v>
      </c>
      <c r="V7" s="39">
        <v>0.75</v>
      </c>
      <c r="W7" s="39">
        <v>0.7</v>
      </c>
      <c r="X7" s="39">
        <v>5.5</v>
      </c>
      <c r="Z7" s="44" t="s">
        <v>91</v>
      </c>
      <c r="AA7" s="45">
        <v>0.05</v>
      </c>
    </row>
    <row r="8" spans="1:27" ht="14.5">
      <c r="A8" s="14" t="s">
        <v>426</v>
      </c>
      <c r="B8" s="15">
        <v>9000</v>
      </c>
      <c r="C8" s="15">
        <v>11000</v>
      </c>
      <c r="D8" s="16">
        <v>4.3</v>
      </c>
      <c r="E8" s="16">
        <v>2.71</v>
      </c>
      <c r="F8" s="247">
        <v>2.0099999999999998</v>
      </c>
      <c r="G8" s="16">
        <f t="shared" si="0"/>
        <v>4.6307151230949595</v>
      </c>
      <c r="H8" s="16">
        <f t="shared" si="1"/>
        <v>8.2649472450175843</v>
      </c>
      <c r="I8" s="16">
        <v>28.2</v>
      </c>
      <c r="J8" s="16">
        <v>15.8</v>
      </c>
      <c r="K8" s="16">
        <v>0.03</v>
      </c>
      <c r="L8" s="15">
        <v>11000</v>
      </c>
      <c r="M8" s="15">
        <v>11000</v>
      </c>
      <c r="N8" s="12" t="s">
        <v>152</v>
      </c>
      <c r="O8" s="355" t="s">
        <v>154</v>
      </c>
      <c r="P8" s="16">
        <v>-18</v>
      </c>
      <c r="Q8" s="12">
        <v>0.12</v>
      </c>
      <c r="R8" s="39">
        <f t="shared" si="2"/>
        <v>1982</v>
      </c>
      <c r="S8" s="39">
        <v>8</v>
      </c>
      <c r="T8" s="39">
        <v>3.4129999999999998</v>
      </c>
      <c r="U8" s="39">
        <v>0.75</v>
      </c>
      <c r="V8" s="39">
        <v>0.75</v>
      </c>
      <c r="W8" s="39">
        <v>0.7</v>
      </c>
      <c r="X8" s="39">
        <v>6</v>
      </c>
      <c r="Z8" s="44" t="s">
        <v>92</v>
      </c>
      <c r="AA8" s="46">
        <v>0.1</v>
      </c>
    </row>
    <row r="9" spans="1:27" ht="14.5">
      <c r="A9" s="14" t="s">
        <v>447</v>
      </c>
      <c r="B9" s="15">
        <v>12000</v>
      </c>
      <c r="C9" s="15">
        <v>13000</v>
      </c>
      <c r="D9" s="16">
        <v>4.2</v>
      </c>
      <c r="E9" s="16">
        <v>2.77</v>
      </c>
      <c r="F9" s="247">
        <v>2.1</v>
      </c>
      <c r="G9" s="16">
        <f t="shared" si="0"/>
        <v>3.9859320046893316</v>
      </c>
      <c r="H9" s="16">
        <f t="shared" si="1"/>
        <v>7.4736225087924977</v>
      </c>
      <c r="I9" s="16">
        <v>25.5</v>
      </c>
      <c r="J9" s="16">
        <v>13.6</v>
      </c>
      <c r="K9" s="16">
        <v>0.03</v>
      </c>
      <c r="L9" s="15">
        <v>13000</v>
      </c>
      <c r="M9" s="15">
        <v>13000</v>
      </c>
      <c r="N9" s="12" t="s">
        <v>152</v>
      </c>
      <c r="O9" s="355" t="s">
        <v>154</v>
      </c>
      <c r="P9" s="16">
        <v>-18</v>
      </c>
      <c r="Q9" s="12">
        <v>0.12</v>
      </c>
      <c r="R9" s="39">
        <f t="shared" si="2"/>
        <v>1983</v>
      </c>
      <c r="S9" s="39">
        <v>8</v>
      </c>
      <c r="T9" s="39">
        <v>3.4129999999999998</v>
      </c>
      <c r="U9" s="39">
        <v>0.75</v>
      </c>
      <c r="V9" s="39">
        <v>0.75</v>
      </c>
      <c r="W9" s="39">
        <v>0.7</v>
      </c>
      <c r="X9" s="39">
        <v>6</v>
      </c>
      <c r="Z9" s="47" t="s">
        <v>95</v>
      </c>
      <c r="AA9" s="48">
        <v>0.18</v>
      </c>
    </row>
    <row r="10" spans="1:27" ht="14.5">
      <c r="A10" s="14" t="s">
        <v>448</v>
      </c>
      <c r="B10" s="15">
        <v>15000</v>
      </c>
      <c r="C10" s="15">
        <v>18000</v>
      </c>
      <c r="D10" s="16">
        <v>3.7</v>
      </c>
      <c r="E10" s="16">
        <v>2.71</v>
      </c>
      <c r="F10" s="247">
        <v>1.79</v>
      </c>
      <c r="G10" s="16">
        <f t="shared" si="0"/>
        <v>3.9566236811254396</v>
      </c>
      <c r="H10" s="16">
        <f t="shared" si="1"/>
        <v>6.3892145369284883</v>
      </c>
      <c r="I10" s="16">
        <v>21.8</v>
      </c>
      <c r="J10" s="16">
        <v>13.5</v>
      </c>
      <c r="K10" s="16">
        <v>0.03</v>
      </c>
      <c r="L10" s="15">
        <v>18000</v>
      </c>
      <c r="M10" s="15">
        <v>18000</v>
      </c>
      <c r="N10" s="12" t="s">
        <v>152</v>
      </c>
      <c r="O10" s="355" t="s">
        <v>154</v>
      </c>
      <c r="P10" s="16">
        <v>-18</v>
      </c>
      <c r="Q10" s="12">
        <v>0.12</v>
      </c>
      <c r="R10" s="39">
        <f t="shared" si="2"/>
        <v>1984</v>
      </c>
      <c r="S10" s="39">
        <v>8</v>
      </c>
      <c r="T10" s="39">
        <v>3.4129999999999998</v>
      </c>
      <c r="U10" s="39">
        <v>0.75</v>
      </c>
      <c r="V10" s="39">
        <v>0.75</v>
      </c>
      <c r="W10" s="39">
        <v>0.7</v>
      </c>
      <c r="X10" s="39">
        <v>6</v>
      </c>
      <c r="Z10" s="47" t="s">
        <v>93</v>
      </c>
      <c r="AA10" s="48">
        <v>0.25</v>
      </c>
    </row>
    <row r="11" spans="1:27" ht="14.5">
      <c r="A11" s="14" t="s">
        <v>449</v>
      </c>
      <c r="B11" s="15">
        <v>17000</v>
      </c>
      <c r="C11" s="15">
        <v>21000</v>
      </c>
      <c r="D11" s="16">
        <v>3.5</v>
      </c>
      <c r="E11" s="16">
        <v>2.62</v>
      </c>
      <c r="F11" s="247">
        <v>2.0499999999999998</v>
      </c>
      <c r="G11" s="16">
        <f t="shared" si="0"/>
        <v>3.6928487690504102</v>
      </c>
      <c r="H11" s="16">
        <f t="shared" si="1"/>
        <v>6.1547479484173504</v>
      </c>
      <c r="I11" s="16">
        <v>21</v>
      </c>
      <c r="J11" s="16">
        <v>12.6</v>
      </c>
      <c r="K11" s="16">
        <v>0.03</v>
      </c>
      <c r="L11" s="15">
        <v>21000</v>
      </c>
      <c r="M11" s="15">
        <v>21000</v>
      </c>
      <c r="N11" s="12" t="s">
        <v>152</v>
      </c>
      <c r="O11" s="355" t="s">
        <v>154</v>
      </c>
      <c r="P11" s="16">
        <v>-18</v>
      </c>
      <c r="Q11" s="12">
        <v>0.12</v>
      </c>
      <c r="R11" s="39">
        <f>R10+1</f>
        <v>1985</v>
      </c>
      <c r="S11" s="39">
        <v>8</v>
      </c>
      <c r="T11" s="39">
        <v>3.4129999999999998</v>
      </c>
      <c r="U11" s="39">
        <v>0.75</v>
      </c>
      <c r="V11" s="39">
        <v>0.75</v>
      </c>
      <c r="W11" s="39">
        <v>0.7</v>
      </c>
      <c r="X11" s="39">
        <v>6</v>
      </c>
      <c r="Z11" s="47" t="s">
        <v>94</v>
      </c>
      <c r="AA11" s="49">
        <v>0.3</v>
      </c>
    </row>
    <row r="12" spans="1:27" ht="14.5">
      <c r="A12" s="17" t="s">
        <v>450</v>
      </c>
      <c r="B12" s="15">
        <v>8100</v>
      </c>
      <c r="C12" s="15">
        <v>10900</v>
      </c>
      <c r="D12" s="16">
        <v>3.13</v>
      </c>
      <c r="E12" s="16">
        <v>2.4242687392355231</v>
      </c>
      <c r="F12" s="16">
        <v>2.16</v>
      </c>
      <c r="G12" s="16">
        <f t="shared" ref="G12:G39" si="3">J12/3.412</f>
        <v>3.5169988276670576</v>
      </c>
      <c r="H12" s="16">
        <f t="shared" ref="H12:H39" si="4">I12/3.412</f>
        <v>4.3962485345838216</v>
      </c>
      <c r="I12" s="16">
        <v>15</v>
      </c>
      <c r="J12" s="16">
        <v>12</v>
      </c>
      <c r="K12" s="16">
        <v>0.05</v>
      </c>
      <c r="L12" s="15">
        <v>6700</v>
      </c>
      <c r="M12" s="15">
        <v>4800</v>
      </c>
      <c r="N12" s="12" t="s">
        <v>154</v>
      </c>
      <c r="O12" s="355" t="s">
        <v>152</v>
      </c>
      <c r="P12" s="16"/>
      <c r="R12" s="39">
        <f t="shared" si="2"/>
        <v>1986</v>
      </c>
      <c r="S12" s="39">
        <v>8</v>
      </c>
      <c r="T12" s="39">
        <v>3.4129999999999998</v>
      </c>
      <c r="U12" s="39">
        <v>0.75</v>
      </c>
      <c r="V12" s="39">
        <v>0.75</v>
      </c>
      <c r="W12" s="39">
        <v>0.7</v>
      </c>
      <c r="X12" s="39">
        <v>6</v>
      </c>
    </row>
    <row r="13" spans="1:27" ht="14.5">
      <c r="A13" s="17" t="s">
        <v>251</v>
      </c>
      <c r="B13" s="15">
        <v>11500</v>
      </c>
      <c r="C13" s="15">
        <v>13600</v>
      </c>
      <c r="D13" s="16">
        <v>3.5</v>
      </c>
      <c r="E13" s="16">
        <v>2.8671186095111882</v>
      </c>
      <c r="F13" s="16">
        <v>2.4700000000000002</v>
      </c>
      <c r="G13" s="16">
        <f t="shared" si="3"/>
        <v>3.6635404454865181</v>
      </c>
      <c r="H13" s="16">
        <f t="shared" si="4"/>
        <v>4.6893317702227435</v>
      </c>
      <c r="I13" s="16">
        <v>16</v>
      </c>
      <c r="J13" s="16">
        <v>12.5</v>
      </c>
      <c r="K13" s="16">
        <v>0.05</v>
      </c>
      <c r="L13" s="15">
        <v>9000</v>
      </c>
      <c r="M13" s="15">
        <v>6000</v>
      </c>
      <c r="N13" s="12" t="s">
        <v>154</v>
      </c>
      <c r="O13" s="355" t="s">
        <v>152</v>
      </c>
      <c r="P13" s="16"/>
      <c r="R13" s="43">
        <f t="shared" si="2"/>
        <v>1987</v>
      </c>
      <c r="S13" s="43">
        <v>8</v>
      </c>
      <c r="T13" s="43">
        <v>3.4129999999999998</v>
      </c>
      <c r="U13" s="43">
        <v>0.75</v>
      </c>
      <c r="V13" s="43">
        <v>0.75</v>
      </c>
      <c r="W13" s="43">
        <v>0.7</v>
      </c>
      <c r="X13" s="43">
        <v>6.6</v>
      </c>
    </row>
    <row r="14" spans="1:27" ht="14.5">
      <c r="A14" s="17" t="s">
        <v>252</v>
      </c>
      <c r="B14" s="15">
        <v>14100</v>
      </c>
      <c r="C14" s="15">
        <v>18000</v>
      </c>
      <c r="D14" s="16">
        <v>3.5169988276670576</v>
      </c>
      <c r="E14" s="16">
        <v>2.9064087534193046</v>
      </c>
      <c r="F14" s="16">
        <v>2.4700000000000002</v>
      </c>
      <c r="G14" s="16">
        <f t="shared" si="3"/>
        <v>3.5169988276670576</v>
      </c>
      <c r="H14" s="16">
        <f t="shared" si="4"/>
        <v>4.542790152403283</v>
      </c>
      <c r="I14" s="16">
        <v>15.5</v>
      </c>
      <c r="J14" s="16">
        <v>12</v>
      </c>
      <c r="K14" s="16">
        <v>0.05</v>
      </c>
      <c r="L14" s="15">
        <v>11900</v>
      </c>
      <c r="M14" s="15">
        <v>7900</v>
      </c>
      <c r="N14" s="12" t="s">
        <v>154</v>
      </c>
      <c r="O14" s="355" t="s">
        <v>152</v>
      </c>
      <c r="P14" s="16"/>
      <c r="R14" s="43">
        <f t="shared" si="2"/>
        <v>1988</v>
      </c>
      <c r="S14" s="43">
        <v>8</v>
      </c>
      <c r="T14" s="43">
        <v>3.4129999999999998</v>
      </c>
      <c r="U14" s="43">
        <v>0.75</v>
      </c>
      <c r="V14" s="43">
        <v>0.75</v>
      </c>
      <c r="W14" s="43">
        <v>0.7</v>
      </c>
      <c r="X14" s="43">
        <v>6.6</v>
      </c>
    </row>
    <row r="15" spans="1:27" ht="14.5">
      <c r="A15" s="17" t="s">
        <v>253</v>
      </c>
      <c r="B15" s="15">
        <v>17200</v>
      </c>
      <c r="C15" s="15">
        <v>21600</v>
      </c>
      <c r="D15" s="16">
        <v>3.7238811116474726</v>
      </c>
      <c r="E15" s="16">
        <v>2.8439928791628675</v>
      </c>
      <c r="F15" s="16">
        <v>2.4300000000000002</v>
      </c>
      <c r="G15" s="16">
        <f t="shared" si="3"/>
        <v>3.6635404454865181</v>
      </c>
      <c r="H15" s="16">
        <f t="shared" si="4"/>
        <v>5.1289566236811259</v>
      </c>
      <c r="I15" s="16">
        <v>17.5</v>
      </c>
      <c r="J15" s="16">
        <v>12.5</v>
      </c>
      <c r="K15" s="16">
        <v>0.05</v>
      </c>
      <c r="L15" s="15">
        <v>13100</v>
      </c>
      <c r="M15" s="15">
        <v>9500</v>
      </c>
      <c r="N15" s="12" t="s">
        <v>154</v>
      </c>
      <c r="O15" s="355" t="s">
        <v>152</v>
      </c>
      <c r="P15" s="16"/>
      <c r="R15" s="43">
        <f t="shared" si="2"/>
        <v>1989</v>
      </c>
      <c r="S15" s="43">
        <v>8</v>
      </c>
      <c r="T15" s="43">
        <v>3.4129999999999998</v>
      </c>
      <c r="U15" s="43">
        <v>0.75</v>
      </c>
      <c r="V15" s="43">
        <v>0.75</v>
      </c>
      <c r="W15" s="43">
        <v>0.7</v>
      </c>
      <c r="X15" s="43">
        <v>6.6</v>
      </c>
    </row>
    <row r="16" spans="1:27" ht="14.5">
      <c r="A16" s="17" t="s">
        <v>254</v>
      </c>
      <c r="B16" s="15">
        <v>8400</v>
      </c>
      <c r="C16" s="15">
        <v>10900</v>
      </c>
      <c r="D16" s="16">
        <v>3.13</v>
      </c>
      <c r="E16" s="16">
        <v>2.4555622445423149</v>
      </c>
      <c r="F16" s="16">
        <v>2.37</v>
      </c>
      <c r="G16" s="16">
        <f t="shared" si="3"/>
        <v>3.5169988276670576</v>
      </c>
      <c r="H16" s="16">
        <f t="shared" si="4"/>
        <v>4.3962485345838216</v>
      </c>
      <c r="I16" s="16">
        <v>15</v>
      </c>
      <c r="J16" s="16">
        <v>12</v>
      </c>
      <c r="K16" s="16">
        <v>0.03</v>
      </c>
      <c r="L16" s="15">
        <v>6200</v>
      </c>
      <c r="M16" s="15">
        <v>4800</v>
      </c>
      <c r="N16" s="12" t="s">
        <v>154</v>
      </c>
      <c r="O16" s="355" t="s">
        <v>152</v>
      </c>
      <c r="P16" s="16"/>
      <c r="R16" s="11">
        <f>R15+1</f>
        <v>1990</v>
      </c>
      <c r="S16" s="11">
        <v>10</v>
      </c>
      <c r="T16" s="11">
        <v>3.4129999999999998</v>
      </c>
      <c r="U16" s="11">
        <v>0.75</v>
      </c>
      <c r="V16" s="11">
        <v>0.75</v>
      </c>
      <c r="W16" s="11">
        <v>0.7</v>
      </c>
      <c r="X16" s="11">
        <v>6.6</v>
      </c>
    </row>
    <row r="17" spans="1:26" ht="14.5">
      <c r="A17" s="17" t="s">
        <v>255</v>
      </c>
      <c r="B17" s="15">
        <v>11100</v>
      </c>
      <c r="C17" s="15">
        <v>13600</v>
      </c>
      <c r="D17" s="16">
        <v>3.5</v>
      </c>
      <c r="E17" s="16">
        <v>2.6156890922613418</v>
      </c>
      <c r="F17" s="16">
        <v>2.3199999999999998</v>
      </c>
      <c r="G17" s="16">
        <f t="shared" si="3"/>
        <v>3.5169988276670576</v>
      </c>
      <c r="H17" s="16">
        <f t="shared" si="4"/>
        <v>4.5134818288393905</v>
      </c>
      <c r="I17" s="16">
        <v>15.4</v>
      </c>
      <c r="J17" s="16">
        <v>12</v>
      </c>
      <c r="K17" s="16">
        <v>0.03</v>
      </c>
      <c r="L17" s="15">
        <v>8300</v>
      </c>
      <c r="M17" s="15">
        <v>6000</v>
      </c>
      <c r="N17" s="12" t="s">
        <v>154</v>
      </c>
      <c r="O17" s="355" t="s">
        <v>152</v>
      </c>
      <c r="P17" s="16"/>
      <c r="R17" s="11">
        <f t="shared" si="2"/>
        <v>1991</v>
      </c>
      <c r="S17" s="11">
        <v>10</v>
      </c>
      <c r="T17" s="11">
        <v>3.4129999999999998</v>
      </c>
      <c r="U17" s="11">
        <v>0.8</v>
      </c>
      <c r="V17" s="11">
        <v>0.8</v>
      </c>
      <c r="W17" s="11">
        <v>0.78</v>
      </c>
      <c r="X17" s="11">
        <v>6.6</v>
      </c>
    </row>
    <row r="18" spans="1:26" ht="14.5">
      <c r="A18" s="17" t="s">
        <v>256</v>
      </c>
      <c r="B18" s="15">
        <v>15000</v>
      </c>
      <c r="C18" s="15">
        <v>18000</v>
      </c>
      <c r="D18" s="16">
        <v>2.7053837135900443</v>
      </c>
      <c r="E18" s="16">
        <v>2.2820221400893117</v>
      </c>
      <c r="F18" s="16">
        <v>2.0099999999999998</v>
      </c>
      <c r="G18" s="16">
        <f t="shared" si="3"/>
        <v>2.9894490035169987</v>
      </c>
      <c r="H18" s="16">
        <f t="shared" si="4"/>
        <v>4.6893317702227435</v>
      </c>
      <c r="I18" s="16">
        <v>16</v>
      </c>
      <c r="J18" s="16">
        <v>10.199999999999999</v>
      </c>
      <c r="K18" s="16">
        <v>0.03</v>
      </c>
      <c r="L18" s="15">
        <v>12000</v>
      </c>
      <c r="M18" s="15">
        <v>7900</v>
      </c>
      <c r="N18" s="12" t="s">
        <v>154</v>
      </c>
      <c r="O18" s="355" t="s">
        <v>152</v>
      </c>
      <c r="P18" s="16"/>
      <c r="R18" s="11">
        <f t="shared" si="2"/>
        <v>1992</v>
      </c>
      <c r="S18" s="11">
        <v>10</v>
      </c>
      <c r="T18" s="11">
        <v>3.4129999999999998</v>
      </c>
      <c r="U18" s="11">
        <v>0.8</v>
      </c>
      <c r="V18" s="11">
        <v>0.8</v>
      </c>
      <c r="W18" s="11">
        <v>0.78</v>
      </c>
      <c r="X18" s="11">
        <v>6.6</v>
      </c>
    </row>
    <row r="19" spans="1:26" ht="14.5">
      <c r="A19" s="17" t="s">
        <v>283</v>
      </c>
      <c r="B19" s="246">
        <v>9000</v>
      </c>
      <c r="C19" s="246">
        <v>10900</v>
      </c>
      <c r="D19" s="247">
        <v>4.4400000000000004</v>
      </c>
      <c r="E19" s="247">
        <v>3.3</v>
      </c>
      <c r="F19" s="247">
        <v>2.91</v>
      </c>
      <c r="G19" s="247">
        <f t="shared" ref="G19:G23" si="5">J19/3.412</f>
        <v>4.5134818288393905</v>
      </c>
      <c r="H19" s="247">
        <f t="shared" ref="H19:H23" si="6">I19/3.412</f>
        <v>7.2098475967174682</v>
      </c>
      <c r="I19" s="247">
        <v>24.6</v>
      </c>
      <c r="J19" s="247">
        <v>15.4</v>
      </c>
      <c r="K19" s="247">
        <v>0.03</v>
      </c>
      <c r="L19" s="246">
        <v>9400</v>
      </c>
      <c r="M19" s="246">
        <v>7600</v>
      </c>
      <c r="N19" s="12" t="s">
        <v>154</v>
      </c>
      <c r="O19" s="355" t="s">
        <v>152</v>
      </c>
      <c r="P19" s="16"/>
      <c r="R19" s="11">
        <f t="shared" si="2"/>
        <v>1993</v>
      </c>
      <c r="S19" s="11">
        <v>10</v>
      </c>
      <c r="T19" s="11">
        <v>3.4129999999999998</v>
      </c>
      <c r="U19" s="11">
        <v>0.8</v>
      </c>
      <c r="V19" s="11">
        <v>0.8</v>
      </c>
      <c r="W19" s="11">
        <v>0.78</v>
      </c>
      <c r="X19" s="11">
        <v>6.6</v>
      </c>
    </row>
    <row r="20" spans="1:26" ht="14.5">
      <c r="A20" s="17" t="s">
        <v>284</v>
      </c>
      <c r="B20" s="246">
        <v>12000</v>
      </c>
      <c r="C20" s="246">
        <v>14400</v>
      </c>
      <c r="D20" s="247">
        <v>3.84</v>
      </c>
      <c r="E20" s="247">
        <v>3.1</v>
      </c>
      <c r="F20" s="247">
        <v>2.93</v>
      </c>
      <c r="G20" s="247">
        <f t="shared" si="5"/>
        <v>3.8100820633059791</v>
      </c>
      <c r="H20" s="247">
        <f t="shared" si="6"/>
        <v>6.7702227432590858</v>
      </c>
      <c r="I20" s="247">
        <v>23.1</v>
      </c>
      <c r="J20" s="247">
        <v>13</v>
      </c>
      <c r="K20" s="247">
        <v>0.03</v>
      </c>
      <c r="L20" s="246">
        <v>12000</v>
      </c>
      <c r="M20" s="246">
        <v>9700</v>
      </c>
      <c r="N20" s="12" t="s">
        <v>154</v>
      </c>
      <c r="O20" s="355" t="s">
        <v>152</v>
      </c>
      <c r="P20" s="16"/>
      <c r="R20" s="11">
        <f t="shared" si="2"/>
        <v>1994</v>
      </c>
      <c r="S20" s="11">
        <v>10</v>
      </c>
      <c r="T20" s="11">
        <v>3.4129999999999998</v>
      </c>
      <c r="U20" s="11">
        <v>0.8</v>
      </c>
      <c r="V20" s="11">
        <v>0.8</v>
      </c>
      <c r="W20" s="11">
        <v>0.78</v>
      </c>
      <c r="X20" s="11">
        <v>6.6</v>
      </c>
    </row>
    <row r="21" spans="1:26" ht="14.5">
      <c r="A21" s="17" t="s">
        <v>285</v>
      </c>
      <c r="B21" s="246">
        <v>14000</v>
      </c>
      <c r="C21" s="246">
        <v>18000</v>
      </c>
      <c r="D21" s="247">
        <v>3.3</v>
      </c>
      <c r="E21" s="247">
        <v>3</v>
      </c>
      <c r="F21" s="247">
        <v>2.63</v>
      </c>
      <c r="G21" s="247">
        <f t="shared" si="5"/>
        <v>3.8100820633059791</v>
      </c>
      <c r="H21" s="247">
        <f t="shared" si="6"/>
        <v>6.3305978898007043</v>
      </c>
      <c r="I21" s="247">
        <v>21.6</v>
      </c>
      <c r="J21" s="247">
        <v>13</v>
      </c>
      <c r="K21" s="247">
        <v>0.03</v>
      </c>
      <c r="L21" s="246">
        <v>16400</v>
      </c>
      <c r="M21" s="246">
        <v>13700</v>
      </c>
      <c r="N21" s="12" t="s">
        <v>154</v>
      </c>
      <c r="O21" s="355" t="s">
        <v>152</v>
      </c>
      <c r="P21" s="16"/>
      <c r="R21" s="11">
        <f t="shared" si="2"/>
        <v>1995</v>
      </c>
      <c r="S21" s="11">
        <v>10</v>
      </c>
      <c r="T21" s="11">
        <v>3.4129999999999998</v>
      </c>
      <c r="U21" s="11">
        <v>0.8</v>
      </c>
      <c r="V21" s="11">
        <v>0.8</v>
      </c>
      <c r="W21" s="11">
        <v>0.78</v>
      </c>
      <c r="X21" s="11">
        <v>6.6</v>
      </c>
    </row>
    <row r="22" spans="1:26" ht="14.5">
      <c r="A22" s="17" t="s">
        <v>286</v>
      </c>
      <c r="B22" s="246">
        <v>18000</v>
      </c>
      <c r="C22" s="246">
        <v>21600</v>
      </c>
      <c r="D22" s="247">
        <v>3.77</v>
      </c>
      <c r="E22" s="247">
        <v>2.73</v>
      </c>
      <c r="F22" s="247">
        <v>2.36</v>
      </c>
      <c r="G22" s="247">
        <f t="shared" si="5"/>
        <v>3.9273153575615476</v>
      </c>
      <c r="H22" s="247">
        <f t="shared" si="6"/>
        <v>6.0082063305978899</v>
      </c>
      <c r="I22" s="247">
        <v>20.5</v>
      </c>
      <c r="J22" s="247">
        <v>13.4</v>
      </c>
      <c r="K22" s="247">
        <v>0.03</v>
      </c>
      <c r="L22" s="246">
        <v>18200</v>
      </c>
      <c r="M22" s="246">
        <v>14500</v>
      </c>
      <c r="N22" s="12" t="s">
        <v>154</v>
      </c>
      <c r="O22" s="355" t="s">
        <v>152</v>
      </c>
      <c r="P22" s="16"/>
      <c r="R22" s="11">
        <f t="shared" si="2"/>
        <v>1996</v>
      </c>
      <c r="S22" s="11">
        <v>10</v>
      </c>
      <c r="T22" s="11">
        <v>3.4129999999999998</v>
      </c>
      <c r="U22" s="11">
        <v>0.8</v>
      </c>
      <c r="V22" s="11">
        <v>0.8</v>
      </c>
      <c r="W22" s="11">
        <v>0.78</v>
      </c>
      <c r="X22" s="11">
        <v>6.6</v>
      </c>
    </row>
    <row r="23" spans="1:26" ht="15" thickBot="1">
      <c r="A23" s="17" t="s">
        <v>287</v>
      </c>
      <c r="B23" s="246">
        <v>22400</v>
      </c>
      <c r="C23" s="246">
        <v>27600</v>
      </c>
      <c r="D23" s="247">
        <v>3.46</v>
      </c>
      <c r="E23" s="247">
        <v>2.65</v>
      </c>
      <c r="F23" s="247">
        <v>1.98</v>
      </c>
      <c r="G23" s="247">
        <f t="shared" si="5"/>
        <v>3.6635404454865181</v>
      </c>
      <c r="H23" s="247">
        <f t="shared" si="6"/>
        <v>6.0082063305978899</v>
      </c>
      <c r="I23" s="247">
        <v>20.5</v>
      </c>
      <c r="J23" s="247">
        <v>12.5</v>
      </c>
      <c r="K23" s="247">
        <v>0.03</v>
      </c>
      <c r="L23" s="246">
        <v>24600</v>
      </c>
      <c r="M23" s="246">
        <v>21160</v>
      </c>
      <c r="N23" s="12" t="s">
        <v>154</v>
      </c>
      <c r="O23" s="355" t="s">
        <v>152</v>
      </c>
      <c r="P23" s="16"/>
      <c r="R23" s="11">
        <f t="shared" si="2"/>
        <v>1997</v>
      </c>
      <c r="S23" s="11">
        <v>10</v>
      </c>
      <c r="T23" s="11">
        <v>3.4129999999999998</v>
      </c>
      <c r="U23" s="11">
        <v>0.8</v>
      </c>
      <c r="V23" s="11">
        <v>0.8</v>
      </c>
      <c r="W23" s="11">
        <v>0.78</v>
      </c>
      <c r="X23" s="11">
        <v>6.8</v>
      </c>
    </row>
    <row r="24" spans="1:26" ht="14.5">
      <c r="A24" s="342" t="s">
        <v>430</v>
      </c>
      <c r="B24" s="343">
        <v>18000</v>
      </c>
      <c r="C24" s="343">
        <v>22000</v>
      </c>
      <c r="D24" s="344">
        <v>3.93</v>
      </c>
      <c r="E24" s="344">
        <v>2.82</v>
      </c>
      <c r="F24" s="345">
        <v>2.5739210459404362</v>
      </c>
      <c r="G24" s="344">
        <f t="shared" si="3"/>
        <v>3.7221570926143022</v>
      </c>
      <c r="H24" s="344">
        <f t="shared" si="4"/>
        <v>5.8616647127784294</v>
      </c>
      <c r="I24" s="344">
        <v>20</v>
      </c>
      <c r="J24" s="344">
        <v>12.7</v>
      </c>
      <c r="K24" s="344">
        <v>0.1</v>
      </c>
      <c r="L24" s="343">
        <v>15500</v>
      </c>
      <c r="M24" s="343">
        <f>0.5*C24</f>
        <v>11000</v>
      </c>
      <c r="N24" s="346" t="s">
        <v>154</v>
      </c>
      <c r="O24" s="356" t="s">
        <v>152</v>
      </c>
      <c r="P24" s="344">
        <v>1.4</v>
      </c>
      <c r="Q24" s="346"/>
      <c r="R24" s="11">
        <f t="shared" si="2"/>
        <v>1998</v>
      </c>
      <c r="S24" s="11">
        <v>10</v>
      </c>
      <c r="T24" s="11">
        <v>3.4129999999999998</v>
      </c>
      <c r="U24" s="11">
        <v>0.8</v>
      </c>
      <c r="V24" s="11">
        <v>0.8</v>
      </c>
      <c r="W24" s="11">
        <v>0.78</v>
      </c>
      <c r="X24" s="11">
        <v>6.8</v>
      </c>
    </row>
    <row r="25" spans="1:26" ht="14.5">
      <c r="A25" s="17" t="s">
        <v>431</v>
      </c>
      <c r="B25" s="250">
        <f>(B24+B26)/2</f>
        <v>19000</v>
      </c>
      <c r="C25" s="250">
        <f>(C24+C26)/2</f>
        <v>22000</v>
      </c>
      <c r="D25" s="251">
        <f t="shared" ref="D25:J25" si="7">(D24+D26)/2</f>
        <v>3.7850000000000001</v>
      </c>
      <c r="E25" s="251">
        <f t="shared" si="7"/>
        <v>2.875</v>
      </c>
      <c r="F25" s="347">
        <f t="shared" si="7"/>
        <v>2.6241216337158706</v>
      </c>
      <c r="G25" s="251">
        <f t="shared" si="7"/>
        <v>3.3264947245017584</v>
      </c>
      <c r="H25" s="251">
        <f t="shared" si="7"/>
        <v>5.2754982415005864</v>
      </c>
      <c r="I25" s="251">
        <f t="shared" si="7"/>
        <v>18</v>
      </c>
      <c r="J25" s="251">
        <f t="shared" si="7"/>
        <v>11.35</v>
      </c>
      <c r="K25" s="251">
        <v>0.1</v>
      </c>
      <c r="L25" s="250">
        <f>(L24+L26)/2</f>
        <v>15000</v>
      </c>
      <c r="M25" s="250">
        <f t="shared" ref="M25" si="8">0.5*C25</f>
        <v>11000</v>
      </c>
      <c r="N25" s="252" t="s">
        <v>154</v>
      </c>
      <c r="O25" s="355" t="s">
        <v>152</v>
      </c>
      <c r="P25" s="251">
        <v>1.4</v>
      </c>
      <c r="Q25" s="252"/>
      <c r="R25" s="11">
        <f t="shared" si="2"/>
        <v>1999</v>
      </c>
      <c r="S25" s="11">
        <v>10</v>
      </c>
      <c r="T25" s="11">
        <v>3.4129999999999998</v>
      </c>
      <c r="U25" s="11">
        <v>0.8</v>
      </c>
      <c r="V25" s="11">
        <v>0.8</v>
      </c>
      <c r="W25" s="11">
        <v>0.78</v>
      </c>
      <c r="X25" s="11">
        <v>6.8</v>
      </c>
    </row>
    <row r="26" spans="1:26" ht="15" thickBot="1">
      <c r="A26" s="348" t="s">
        <v>432</v>
      </c>
      <c r="B26" s="349">
        <v>20000</v>
      </c>
      <c r="C26" s="349">
        <v>22000</v>
      </c>
      <c r="D26" s="350">
        <v>3.64</v>
      </c>
      <c r="E26" s="433">
        <v>2.93</v>
      </c>
      <c r="F26" s="352">
        <f>F24/E24*E26</f>
        <v>2.6743222214913045</v>
      </c>
      <c r="G26" s="350">
        <f>J26/3.412</f>
        <v>2.9308323563892147</v>
      </c>
      <c r="H26" s="350">
        <f t="shared" ref="H26" si="9">I26/3.412</f>
        <v>4.6893317702227435</v>
      </c>
      <c r="I26" s="350">
        <v>16</v>
      </c>
      <c r="J26" s="350">
        <v>10</v>
      </c>
      <c r="K26" s="350">
        <v>0.1</v>
      </c>
      <c r="L26" s="349">
        <v>14500</v>
      </c>
      <c r="M26" s="349">
        <v>10900</v>
      </c>
      <c r="N26" s="351" t="s">
        <v>154</v>
      </c>
      <c r="O26" s="357" t="s">
        <v>152</v>
      </c>
      <c r="P26" s="350">
        <v>1.4</v>
      </c>
      <c r="Q26" s="351"/>
      <c r="R26" s="11">
        <f t="shared" si="2"/>
        <v>2000</v>
      </c>
      <c r="S26" s="11">
        <v>10</v>
      </c>
      <c r="T26" s="11">
        <v>3.4129999999999998</v>
      </c>
      <c r="U26" s="11">
        <v>0.8</v>
      </c>
      <c r="V26" s="11">
        <v>0.8</v>
      </c>
      <c r="W26" s="11">
        <v>0.78</v>
      </c>
      <c r="X26" s="11">
        <v>6.8</v>
      </c>
      <c r="Y26" s="12">
        <v>5</v>
      </c>
      <c r="Z26" s="12">
        <v>0.46</v>
      </c>
    </row>
    <row r="27" spans="1:26" ht="14.5">
      <c r="A27" s="17" t="s">
        <v>378</v>
      </c>
      <c r="B27" s="15">
        <v>22000</v>
      </c>
      <c r="C27" s="15">
        <v>25000</v>
      </c>
      <c r="D27" s="16">
        <v>4.2</v>
      </c>
      <c r="E27" s="247">
        <v>2.97</v>
      </c>
      <c r="F27" s="353">
        <v>2.818151077696085</v>
      </c>
      <c r="G27" s="16">
        <f t="shared" si="3"/>
        <v>3.9859320046893316</v>
      </c>
      <c r="H27" s="16">
        <f t="shared" si="4"/>
        <v>5.8616647127784294</v>
      </c>
      <c r="I27" s="16">
        <v>20</v>
      </c>
      <c r="J27" s="16">
        <v>13.6</v>
      </c>
      <c r="K27" s="16">
        <v>0.1</v>
      </c>
      <c r="L27" s="15">
        <v>19600</v>
      </c>
      <c r="M27" s="15">
        <f>0.53*C27</f>
        <v>13250</v>
      </c>
      <c r="N27" s="12" t="s">
        <v>154</v>
      </c>
      <c r="O27" s="355" t="s">
        <v>152</v>
      </c>
      <c r="P27" s="16">
        <v>1.4</v>
      </c>
      <c r="R27" s="11">
        <f t="shared" si="2"/>
        <v>2001</v>
      </c>
      <c r="S27" s="11">
        <v>13</v>
      </c>
      <c r="T27" s="11">
        <v>3.4129999999999998</v>
      </c>
      <c r="U27" s="11">
        <v>0.85</v>
      </c>
      <c r="V27" s="11">
        <v>0.85</v>
      </c>
      <c r="W27" s="11">
        <v>0.82</v>
      </c>
      <c r="X27" s="11">
        <v>6.8</v>
      </c>
      <c r="Y27" s="12">
        <v>14</v>
      </c>
      <c r="Z27" s="12">
        <v>0.59</v>
      </c>
    </row>
    <row r="28" spans="1:26" ht="14.5">
      <c r="A28" s="17" t="s">
        <v>383</v>
      </c>
      <c r="B28" s="250">
        <f>(B27+B29)/2</f>
        <v>22800</v>
      </c>
      <c r="C28" s="250">
        <f>(C27+C29)/2</f>
        <v>24800</v>
      </c>
      <c r="D28" s="251">
        <f t="shared" ref="D28" si="10">(D27+D29)/2</f>
        <v>4</v>
      </c>
      <c r="E28" s="431">
        <f t="shared" ref="E28" si="11">(E27+E29)/2</f>
        <v>2.79</v>
      </c>
      <c r="F28" s="347">
        <f t="shared" ref="F28" si="12">(F27+F29)/2</f>
        <v>2.647354042684201</v>
      </c>
      <c r="G28" s="251">
        <f t="shared" ref="G28" si="13">(G27+G29)/2</f>
        <v>3.6342321219226257</v>
      </c>
      <c r="H28" s="251">
        <f t="shared" ref="H28" si="14">(H27+H29)/2</f>
        <v>5.2754982415005864</v>
      </c>
      <c r="I28" s="251">
        <f t="shared" ref="I28" si="15">(I27+I29)/2</f>
        <v>18</v>
      </c>
      <c r="J28" s="251">
        <f t="shared" ref="J28" si="16">(J27+J29)/2</f>
        <v>12.399999999999999</v>
      </c>
      <c r="K28" s="251">
        <v>0.1</v>
      </c>
      <c r="L28" s="250">
        <f>(L27+L29)/2</f>
        <v>19600</v>
      </c>
      <c r="M28" s="250">
        <f t="shared" ref="M28:M29" si="17">0.53*C28</f>
        <v>13144</v>
      </c>
      <c r="N28" s="12" t="s">
        <v>154</v>
      </c>
      <c r="O28" s="355" t="s">
        <v>152</v>
      </c>
      <c r="P28" s="16">
        <v>1.4</v>
      </c>
      <c r="R28" s="11">
        <f t="shared" si="2"/>
        <v>2002</v>
      </c>
      <c r="S28" s="11">
        <v>13</v>
      </c>
      <c r="T28" s="11">
        <v>3.4129999999999998</v>
      </c>
      <c r="U28" s="11">
        <v>0.85</v>
      </c>
      <c r="V28" s="11">
        <v>0.85</v>
      </c>
      <c r="W28" s="11">
        <v>0.82</v>
      </c>
      <c r="X28" s="11">
        <v>6.8</v>
      </c>
      <c r="Y28" s="12">
        <v>23</v>
      </c>
      <c r="Z28" s="12">
        <v>0.63</v>
      </c>
    </row>
    <row r="29" spans="1:26" ht="15" thickBot="1">
      <c r="A29" s="17" t="s">
        <v>388</v>
      </c>
      <c r="B29" s="15">
        <v>23600</v>
      </c>
      <c r="C29" s="15">
        <v>24600</v>
      </c>
      <c r="D29" s="16">
        <v>3.8</v>
      </c>
      <c r="E29" s="247">
        <v>2.61</v>
      </c>
      <c r="F29" s="352">
        <f>F27/E27*E29</f>
        <v>2.4765570076723171</v>
      </c>
      <c r="G29" s="16">
        <f t="shared" ref="G29" si="18">J29/3.412</f>
        <v>3.2825322391559202</v>
      </c>
      <c r="H29" s="16">
        <f t="shared" ref="H29" si="19">I29/3.412</f>
        <v>4.6893317702227435</v>
      </c>
      <c r="I29" s="16">
        <v>16</v>
      </c>
      <c r="J29" s="16">
        <v>11.2</v>
      </c>
      <c r="K29" s="16">
        <v>0.1</v>
      </c>
      <c r="L29" s="15">
        <v>19600</v>
      </c>
      <c r="M29" s="15">
        <f t="shared" si="17"/>
        <v>13038</v>
      </c>
      <c r="N29" s="12" t="s">
        <v>154</v>
      </c>
      <c r="O29" s="355" t="s">
        <v>152</v>
      </c>
      <c r="P29" s="16">
        <v>1.4</v>
      </c>
      <c r="R29" s="11">
        <f>R28+1</f>
        <v>2003</v>
      </c>
      <c r="S29" s="11">
        <v>13</v>
      </c>
      <c r="T29" s="11">
        <v>3.4129999999999998</v>
      </c>
      <c r="U29" s="11">
        <v>0.85</v>
      </c>
      <c r="V29" s="11">
        <v>0.85</v>
      </c>
      <c r="W29" s="11">
        <v>0.82</v>
      </c>
      <c r="X29" s="11">
        <v>6.8</v>
      </c>
      <c r="Y29" s="12">
        <v>32</v>
      </c>
      <c r="Z29" s="12">
        <v>0.71</v>
      </c>
    </row>
    <row r="30" spans="1:26" ht="14.5">
      <c r="A30" s="342" t="s">
        <v>379</v>
      </c>
      <c r="B30" s="343">
        <v>28400</v>
      </c>
      <c r="C30" s="343">
        <v>28600</v>
      </c>
      <c r="D30" s="344">
        <v>3.9</v>
      </c>
      <c r="E30" s="432">
        <v>2.77</v>
      </c>
      <c r="F30" s="345">
        <v>2.6372078415390554</v>
      </c>
      <c r="G30" s="344">
        <f t="shared" si="3"/>
        <v>3.1066822977725672</v>
      </c>
      <c r="H30" s="344">
        <f t="shared" si="4"/>
        <v>5.5685814771395075</v>
      </c>
      <c r="I30" s="344">
        <v>19</v>
      </c>
      <c r="J30" s="344">
        <v>10.6</v>
      </c>
      <c r="K30" s="344">
        <v>0.1</v>
      </c>
      <c r="L30" s="343">
        <v>21000</v>
      </c>
      <c r="M30" s="343">
        <f>0.55*C30</f>
        <v>15730.000000000002</v>
      </c>
      <c r="N30" s="346" t="s">
        <v>154</v>
      </c>
      <c r="O30" s="356" t="s">
        <v>152</v>
      </c>
      <c r="P30" s="344">
        <v>1.4</v>
      </c>
      <c r="Q30" s="346"/>
      <c r="R30" s="11">
        <f>R29+1</f>
        <v>2004</v>
      </c>
      <c r="S30" s="11">
        <v>13</v>
      </c>
      <c r="T30" s="11">
        <v>3.4129999999999998</v>
      </c>
      <c r="U30" s="11">
        <v>0.85</v>
      </c>
      <c r="V30" s="11">
        <v>0.85</v>
      </c>
      <c r="W30" s="11">
        <v>0.82</v>
      </c>
      <c r="X30" s="11">
        <v>6.8</v>
      </c>
    </row>
    <row r="31" spans="1:26" ht="14.5">
      <c r="A31" s="17" t="s">
        <v>384</v>
      </c>
      <c r="B31" s="250">
        <f>(B30+B32)/2</f>
        <v>27900</v>
      </c>
      <c r="C31" s="250">
        <f>(C30+C32)/2</f>
        <v>28100</v>
      </c>
      <c r="D31" s="251">
        <f t="shared" ref="D31" si="20">(D30+D32)/2</f>
        <v>3.77</v>
      </c>
      <c r="E31" s="431">
        <f t="shared" ref="E31" si="21">(E30+E32)/2</f>
        <v>2.7749999999999999</v>
      </c>
      <c r="F31" s="347">
        <f t="shared" ref="F31" si="22">(F30+F32)/2</f>
        <v>2.6419681445021221</v>
      </c>
      <c r="G31" s="251">
        <f t="shared" ref="G31" si="23">(G30+G32)/2</f>
        <v>2.9601406799531063</v>
      </c>
      <c r="H31" s="251">
        <f t="shared" ref="H31" si="24">(H30+H32)/2</f>
        <v>5.1582649472450175</v>
      </c>
      <c r="I31" s="251">
        <f t="shared" ref="I31" si="25">(I30+I32)/2</f>
        <v>17.600000000000001</v>
      </c>
      <c r="J31" s="251">
        <f t="shared" ref="J31" si="26">(J30+J32)/2</f>
        <v>10.1</v>
      </c>
      <c r="K31" s="251">
        <v>0.1</v>
      </c>
      <c r="L31" s="250">
        <f>(L30+L32)/2</f>
        <v>21000</v>
      </c>
      <c r="M31" s="250">
        <f t="shared" ref="M31:M32" si="27">0.55*C31</f>
        <v>15455.000000000002</v>
      </c>
      <c r="N31" s="252" t="s">
        <v>154</v>
      </c>
      <c r="O31" s="355" t="s">
        <v>152</v>
      </c>
      <c r="P31" s="251">
        <v>1.4</v>
      </c>
      <c r="Q31" s="252"/>
      <c r="R31" s="11">
        <f>R30+1</f>
        <v>2005</v>
      </c>
      <c r="S31" s="11">
        <v>13</v>
      </c>
      <c r="T31" s="11">
        <v>3.4129999999999998</v>
      </c>
      <c r="U31" s="11">
        <v>0.85</v>
      </c>
      <c r="V31" s="11">
        <v>0.85</v>
      </c>
      <c r="W31" s="11">
        <v>0.82</v>
      </c>
      <c r="X31" s="11">
        <v>6.8</v>
      </c>
    </row>
    <row r="32" spans="1:26" ht="15" thickBot="1">
      <c r="A32" s="348" t="s">
        <v>389</v>
      </c>
      <c r="B32" s="349">
        <v>27400</v>
      </c>
      <c r="C32" s="349">
        <v>27600</v>
      </c>
      <c r="D32" s="350">
        <v>3.64</v>
      </c>
      <c r="E32" s="433">
        <v>2.78</v>
      </c>
      <c r="F32" s="352">
        <f>F30/E30*E32</f>
        <v>2.6467284474651889</v>
      </c>
      <c r="G32" s="350">
        <f t="shared" ref="G32" si="28">J32/3.412</f>
        <v>2.8135990621336457</v>
      </c>
      <c r="H32" s="350">
        <f t="shared" ref="H32" si="29">I32/3.412</f>
        <v>4.7479484173505275</v>
      </c>
      <c r="I32" s="350">
        <v>16.2</v>
      </c>
      <c r="J32" s="350">
        <v>9.6</v>
      </c>
      <c r="K32" s="350">
        <v>0.1</v>
      </c>
      <c r="L32" s="349">
        <v>21000</v>
      </c>
      <c r="M32" s="349">
        <f t="shared" si="27"/>
        <v>15180.000000000002</v>
      </c>
      <c r="N32" s="351" t="s">
        <v>154</v>
      </c>
      <c r="O32" s="357" t="s">
        <v>152</v>
      </c>
      <c r="P32" s="350">
        <v>1.4</v>
      </c>
      <c r="Q32" s="351"/>
      <c r="R32" s="11">
        <f>R31+1</f>
        <v>2006</v>
      </c>
      <c r="S32" s="11">
        <v>13</v>
      </c>
      <c r="T32" s="11">
        <v>3.4129999999999998</v>
      </c>
      <c r="U32" s="11">
        <v>0.85</v>
      </c>
      <c r="V32" s="11">
        <v>0.85</v>
      </c>
      <c r="W32" s="11">
        <v>0.82</v>
      </c>
      <c r="X32" s="11">
        <v>7.4</v>
      </c>
    </row>
    <row r="33" spans="1:24" ht="14.5">
      <c r="A33" s="17" t="s">
        <v>380</v>
      </c>
      <c r="B33" s="15">
        <v>35400</v>
      </c>
      <c r="C33" s="15">
        <v>36000</v>
      </c>
      <c r="D33" s="16">
        <v>3.5</v>
      </c>
      <c r="E33" s="247">
        <v>2.67</v>
      </c>
      <c r="F33" s="142">
        <v>2.543127572650369</v>
      </c>
      <c r="G33" s="16">
        <f t="shared" si="3"/>
        <v>2.7549824150058617</v>
      </c>
      <c r="H33" s="16">
        <f t="shared" si="4"/>
        <v>5.6271981242672915</v>
      </c>
      <c r="I33" s="16">
        <v>19.2</v>
      </c>
      <c r="J33" s="16">
        <v>9.4</v>
      </c>
      <c r="K33" s="16">
        <v>0.1</v>
      </c>
      <c r="L33" s="15">
        <v>26600</v>
      </c>
      <c r="M33" s="15">
        <f>0.52*C33</f>
        <v>18720</v>
      </c>
      <c r="N33" s="12" t="s">
        <v>154</v>
      </c>
      <c r="O33" s="355" t="s">
        <v>152</v>
      </c>
      <c r="P33" s="16">
        <v>1.4</v>
      </c>
      <c r="R33" s="11">
        <f>R32+1</f>
        <v>2007</v>
      </c>
      <c r="S33" s="11">
        <v>13</v>
      </c>
      <c r="T33" s="11">
        <v>3.4129999999999998</v>
      </c>
      <c r="U33" s="11">
        <v>0.85</v>
      </c>
      <c r="V33" s="11">
        <v>0.85</v>
      </c>
      <c r="W33" s="11">
        <v>0.82</v>
      </c>
      <c r="X33" s="11">
        <v>7.4</v>
      </c>
    </row>
    <row r="34" spans="1:24" ht="14.5">
      <c r="A34" s="17" t="s">
        <v>385</v>
      </c>
      <c r="B34" s="250">
        <f>(B33+B35)/2</f>
        <v>34900</v>
      </c>
      <c r="C34" s="250">
        <f>(C33+C35)/2</f>
        <v>35200</v>
      </c>
      <c r="D34" s="251">
        <f t="shared" ref="D34" si="30">(D33+D35)/2</f>
        <v>3.375</v>
      </c>
      <c r="E34" s="431">
        <f t="shared" ref="E34" si="31">(E33+E35)/2</f>
        <v>2.605</v>
      </c>
      <c r="F34" s="347">
        <f t="shared" ref="F34" si="32">(F33+F35)/2</f>
        <v>2.4812162272487681</v>
      </c>
      <c r="G34" s="251">
        <f t="shared" ref="G34" si="33">(G33+G35)/2</f>
        <v>2.652403282532239</v>
      </c>
      <c r="H34" s="251">
        <f t="shared" ref="H34" si="34">(H33+H35)/2</f>
        <v>5.1582649472450175</v>
      </c>
      <c r="I34" s="251">
        <f t="shared" ref="I34" si="35">(I33+I35)/2</f>
        <v>17.600000000000001</v>
      </c>
      <c r="J34" s="251">
        <f t="shared" ref="J34" si="36">(J33+J35)/2</f>
        <v>9.0500000000000007</v>
      </c>
      <c r="K34" s="251">
        <v>0.1</v>
      </c>
      <c r="L34" s="250">
        <f>(L33+L35)/2</f>
        <v>26600</v>
      </c>
      <c r="M34" s="250">
        <f t="shared" ref="M34:M35" si="37">0.52*C34</f>
        <v>18304</v>
      </c>
      <c r="N34" s="12" t="s">
        <v>154</v>
      </c>
      <c r="O34" s="355" t="s">
        <v>152</v>
      </c>
      <c r="P34" s="16">
        <v>1.4</v>
      </c>
      <c r="R34" s="11">
        <f t="shared" si="2"/>
        <v>2008</v>
      </c>
      <c r="S34" s="11">
        <v>13</v>
      </c>
      <c r="T34" s="11">
        <v>3.4129999999999998</v>
      </c>
      <c r="U34" s="11">
        <v>0.85</v>
      </c>
      <c r="V34" s="11">
        <v>0.85</v>
      </c>
      <c r="W34" s="11">
        <v>0.82</v>
      </c>
      <c r="X34" s="11">
        <v>7.4</v>
      </c>
    </row>
    <row r="35" spans="1:24" ht="15" thickBot="1">
      <c r="A35" s="17" t="s">
        <v>390</v>
      </c>
      <c r="B35" s="15">
        <v>34400</v>
      </c>
      <c r="C35" s="15">
        <v>34400</v>
      </c>
      <c r="D35" s="16">
        <v>3.25</v>
      </c>
      <c r="E35" s="247">
        <v>2.54</v>
      </c>
      <c r="F35" s="352">
        <f>F33/E33*E35</f>
        <v>2.4193048818471676</v>
      </c>
      <c r="G35" s="16">
        <f t="shared" ref="G35" si="38">J35/3.412</f>
        <v>2.5498241500586163</v>
      </c>
      <c r="H35" s="16">
        <f t="shared" ref="H35" si="39">I35/3.412</f>
        <v>4.6893317702227435</v>
      </c>
      <c r="I35" s="16">
        <v>16</v>
      </c>
      <c r="J35" s="16">
        <v>8.6999999999999993</v>
      </c>
      <c r="K35" s="16">
        <v>0.1</v>
      </c>
      <c r="L35" s="15">
        <v>26600</v>
      </c>
      <c r="M35" s="15">
        <f t="shared" si="37"/>
        <v>17888</v>
      </c>
      <c r="N35" s="12" t="s">
        <v>154</v>
      </c>
      <c r="O35" s="355" t="s">
        <v>152</v>
      </c>
      <c r="P35" s="16">
        <v>1.4</v>
      </c>
      <c r="R35" s="11">
        <f t="shared" si="2"/>
        <v>2009</v>
      </c>
      <c r="S35" s="11">
        <v>13</v>
      </c>
      <c r="T35" s="11">
        <v>3.4129999999999998</v>
      </c>
      <c r="U35" s="11">
        <v>0.85</v>
      </c>
      <c r="V35" s="11">
        <v>0.85</v>
      </c>
      <c r="W35" s="11">
        <v>0.82</v>
      </c>
      <c r="X35" s="11">
        <v>7.4</v>
      </c>
    </row>
    <row r="36" spans="1:24" ht="14.5">
      <c r="A36" s="342" t="s">
        <v>381</v>
      </c>
      <c r="B36" s="343">
        <v>40500</v>
      </c>
      <c r="C36" s="343">
        <v>45000</v>
      </c>
      <c r="D36" s="344">
        <v>3.69</v>
      </c>
      <c r="E36" s="432">
        <v>2.4300000000000002</v>
      </c>
      <c r="F36" s="345">
        <v>2.3267836636164336</v>
      </c>
      <c r="G36" s="344">
        <f t="shared" si="3"/>
        <v>2.6963657678780772</v>
      </c>
      <c r="H36" s="344">
        <f t="shared" si="4"/>
        <v>5.7737397420867529</v>
      </c>
      <c r="I36" s="344">
        <v>19.7</v>
      </c>
      <c r="J36" s="344">
        <v>9.1999999999999993</v>
      </c>
      <c r="K36" s="344">
        <v>0.1</v>
      </c>
      <c r="L36" s="343">
        <v>30500</v>
      </c>
      <c r="M36" s="343">
        <f>0.52*C36</f>
        <v>23400</v>
      </c>
      <c r="N36" s="346" t="s">
        <v>154</v>
      </c>
      <c r="O36" s="356" t="s">
        <v>152</v>
      </c>
      <c r="P36" s="344">
        <v>1.4</v>
      </c>
      <c r="Q36" s="346"/>
      <c r="R36" s="11">
        <f t="shared" si="2"/>
        <v>2010</v>
      </c>
      <c r="S36" s="11">
        <v>13</v>
      </c>
      <c r="T36" s="11">
        <v>3.4129999999999998</v>
      </c>
      <c r="U36" s="11">
        <v>0.85</v>
      </c>
      <c r="V36" s="11">
        <v>0.85</v>
      </c>
      <c r="W36" s="11">
        <v>0.82</v>
      </c>
      <c r="X36" s="11">
        <v>7.4</v>
      </c>
    </row>
    <row r="37" spans="1:24">
      <c r="A37" s="17" t="s">
        <v>386</v>
      </c>
      <c r="B37" s="250">
        <f>(B36+B38)/2</f>
        <v>39000</v>
      </c>
      <c r="C37" s="250">
        <f>(C36+C38)/2</f>
        <v>43000</v>
      </c>
      <c r="D37" s="251">
        <f t="shared" ref="D37" si="40">(D36+D38)/2</f>
        <v>3.58</v>
      </c>
      <c r="E37" s="431">
        <f t="shared" ref="E37" si="41">(E36+E38)/2</f>
        <v>2.39</v>
      </c>
      <c r="F37" s="347">
        <f t="shared" ref="F37" si="42">(F36+F38)/2</f>
        <v>2.288482697960196</v>
      </c>
      <c r="G37" s="251">
        <f t="shared" ref="G37" si="43">(G36+G38)/2</f>
        <v>2.6670574443141852</v>
      </c>
      <c r="H37" s="251">
        <f t="shared" ref="H37" si="44">(H36+H38)/2</f>
        <v>5.1143024618991788</v>
      </c>
      <c r="I37" s="251">
        <f t="shared" ref="I37" si="45">(I36+I38)/2</f>
        <v>17.45</v>
      </c>
      <c r="J37" s="251">
        <f t="shared" ref="J37" si="46">(J36+J38)/2</f>
        <v>9.1</v>
      </c>
      <c r="K37" s="251">
        <v>0.1</v>
      </c>
      <c r="L37" s="250">
        <f>(L36+L38)/2</f>
        <v>29800</v>
      </c>
      <c r="M37" s="250">
        <f t="shared" ref="M37:M38" si="47">0.52*C37</f>
        <v>22360</v>
      </c>
      <c r="N37" s="252" t="s">
        <v>154</v>
      </c>
      <c r="O37" s="355" t="s">
        <v>152</v>
      </c>
      <c r="P37" s="251">
        <v>1.4</v>
      </c>
      <c r="Q37" s="252"/>
    </row>
    <row r="38" spans="1:24" ht="14.5" thickBot="1">
      <c r="A38" s="348" t="s">
        <v>391</v>
      </c>
      <c r="B38" s="349">
        <v>37500</v>
      </c>
      <c r="C38" s="349">
        <v>41000</v>
      </c>
      <c r="D38" s="350">
        <v>3.47</v>
      </c>
      <c r="E38" s="433">
        <v>2.35</v>
      </c>
      <c r="F38" s="352">
        <f>F36/E36*E38</f>
        <v>2.2501817323039583</v>
      </c>
      <c r="G38" s="350">
        <f t="shared" ref="G38" si="48">J38/3.412</f>
        <v>2.6377491207502932</v>
      </c>
      <c r="H38" s="350">
        <f t="shared" ref="H38" si="49">I38/3.412</f>
        <v>4.4548651817116056</v>
      </c>
      <c r="I38" s="350">
        <v>15.2</v>
      </c>
      <c r="J38" s="350">
        <v>9</v>
      </c>
      <c r="K38" s="350">
        <v>0.1</v>
      </c>
      <c r="L38" s="349">
        <v>29100</v>
      </c>
      <c r="M38" s="349">
        <f t="shared" si="47"/>
        <v>21320</v>
      </c>
      <c r="N38" s="351" t="s">
        <v>154</v>
      </c>
      <c r="O38" s="357" t="s">
        <v>152</v>
      </c>
      <c r="P38" s="350">
        <v>1.4</v>
      </c>
      <c r="Q38" s="351"/>
    </row>
    <row r="39" spans="1:24">
      <c r="A39" s="17" t="s">
        <v>382</v>
      </c>
      <c r="B39" s="15">
        <v>48000</v>
      </c>
      <c r="C39" s="15">
        <v>54000</v>
      </c>
      <c r="D39" s="16">
        <v>3.75</v>
      </c>
      <c r="E39" s="247">
        <v>2.6</v>
      </c>
      <c r="F39" s="142">
        <v>2.4751215589483535</v>
      </c>
      <c r="G39" s="16">
        <f t="shared" si="3"/>
        <v>3.5169988276670576</v>
      </c>
      <c r="H39" s="16">
        <f t="shared" si="4"/>
        <v>5.539273153575615</v>
      </c>
      <c r="I39" s="16">
        <v>18.899999999999999</v>
      </c>
      <c r="J39" s="16">
        <v>12</v>
      </c>
      <c r="K39" s="16">
        <v>0.1</v>
      </c>
      <c r="L39" s="15">
        <v>36600</v>
      </c>
      <c r="M39" s="15">
        <v>32400</v>
      </c>
      <c r="N39" s="12" t="s">
        <v>154</v>
      </c>
      <c r="O39" s="355" t="s">
        <v>152</v>
      </c>
      <c r="P39" s="16"/>
    </row>
    <row r="40" spans="1:24">
      <c r="A40" s="17" t="s">
        <v>387</v>
      </c>
      <c r="B40" s="250">
        <f>(B39+B41)/2</f>
        <v>48000</v>
      </c>
      <c r="C40" s="250">
        <f>(C39+C41)/2</f>
        <v>54000</v>
      </c>
      <c r="D40" s="251">
        <v>3.44</v>
      </c>
      <c r="E40" s="431">
        <f t="shared" ref="E40" si="50">(E39+E41)/2</f>
        <v>2.4500000000000002</v>
      </c>
      <c r="F40" s="347">
        <f t="shared" ref="F40" si="51">(F39+F41)/2</f>
        <v>2.3323260843936406</v>
      </c>
      <c r="G40" s="251">
        <f t="shared" ref="G40" si="52">(G39+G41)/2</f>
        <v>3.1506447831184055</v>
      </c>
      <c r="H40" s="251">
        <f t="shared" ref="H40" si="53">(H39+H41)/2</f>
        <v>4.9237983587338796</v>
      </c>
      <c r="I40" s="251">
        <f t="shared" ref="I40" si="54">(I39+I41)/2</f>
        <v>16.799999999999997</v>
      </c>
      <c r="J40" s="251">
        <f t="shared" ref="J40" si="55">(J39+J41)/2</f>
        <v>10.75</v>
      </c>
      <c r="K40" s="251">
        <v>0.1</v>
      </c>
      <c r="L40" s="250">
        <f>(L39+L41)/2</f>
        <v>36600</v>
      </c>
      <c r="M40" s="250">
        <v>32400</v>
      </c>
      <c r="N40" s="12" t="s">
        <v>154</v>
      </c>
      <c r="O40" s="355" t="s">
        <v>152</v>
      </c>
      <c r="P40" s="16"/>
    </row>
    <row r="41" spans="1:24" ht="14.5" thickBot="1">
      <c r="A41" s="348" t="s">
        <v>392</v>
      </c>
      <c r="B41" s="349">
        <v>48000</v>
      </c>
      <c r="C41" s="349">
        <v>54000</v>
      </c>
      <c r="D41" s="350">
        <v>3.17</v>
      </c>
      <c r="E41" s="433">
        <v>2.2999999999999998</v>
      </c>
      <c r="F41" s="352">
        <f>F39/E39*E41</f>
        <v>2.1895306098389278</v>
      </c>
      <c r="G41" s="350">
        <f t="shared" ref="G41" si="56">J41/3.412</f>
        <v>2.7842907385697537</v>
      </c>
      <c r="H41" s="350">
        <f t="shared" ref="H41" si="57">I41/3.412</f>
        <v>4.3083235638921451</v>
      </c>
      <c r="I41" s="350">
        <v>14.7</v>
      </c>
      <c r="J41" s="350">
        <v>9.5</v>
      </c>
      <c r="K41" s="350">
        <v>0.1</v>
      </c>
      <c r="L41" s="349">
        <v>36600</v>
      </c>
      <c r="M41" s="349">
        <v>32400</v>
      </c>
      <c r="N41" s="351" t="s">
        <v>154</v>
      </c>
      <c r="O41" s="357" t="s">
        <v>152</v>
      </c>
      <c r="P41" s="350"/>
      <c r="Q41" s="351"/>
    </row>
    <row r="42" spans="1:24">
      <c r="A42" s="17" t="s">
        <v>393</v>
      </c>
      <c r="B42" s="15">
        <v>60000</v>
      </c>
      <c r="C42" s="15">
        <v>66000</v>
      </c>
      <c r="D42" s="16">
        <v>3.4</v>
      </c>
      <c r="E42" s="247">
        <v>2.5</v>
      </c>
      <c r="F42" s="353">
        <f>57000/3.413/8350</f>
        <v>2.000101759563206</v>
      </c>
      <c r="G42" s="16">
        <f t="shared" ref="G42" si="58">J42/3.412</f>
        <v>3.6635404454865181</v>
      </c>
      <c r="H42" s="16">
        <f t="shared" ref="H42" si="59">I42/3.412</f>
        <v>5.0996483001172326</v>
      </c>
      <c r="I42" s="16">
        <v>17.399999999999999</v>
      </c>
      <c r="J42" s="16">
        <v>12.5</v>
      </c>
      <c r="K42" s="16">
        <v>0.1</v>
      </c>
      <c r="L42" s="15">
        <v>65000</v>
      </c>
      <c r="M42" s="15">
        <v>57000</v>
      </c>
      <c r="N42" s="12" t="s">
        <v>154</v>
      </c>
      <c r="O42" s="356" t="s">
        <v>152</v>
      </c>
      <c r="P42" s="16"/>
    </row>
    <row r="43" spans="1:24">
      <c r="A43" s="17" t="s">
        <v>394</v>
      </c>
      <c r="B43" s="250">
        <v>60000</v>
      </c>
      <c r="C43" s="250">
        <v>66000</v>
      </c>
      <c r="D43" s="251">
        <v>3.4</v>
      </c>
      <c r="E43" s="431">
        <f t="shared" ref="E43" si="60">(E42+E44)/2</f>
        <v>2.5</v>
      </c>
      <c r="F43" s="347">
        <f t="shared" ref="F43" si="61">(F42+F44)/2</f>
        <v>1.7643918268000363</v>
      </c>
      <c r="G43" s="251">
        <f t="shared" ref="G43" si="62">(G42+G44)/2</f>
        <v>3.2385697538100819</v>
      </c>
      <c r="H43" s="251">
        <f t="shared" ref="H43" si="63">(H42+H44)/2</f>
        <v>4.7626025791324729</v>
      </c>
      <c r="I43" s="251">
        <v>16.3</v>
      </c>
      <c r="J43" s="251">
        <v>11.05</v>
      </c>
      <c r="K43" s="251">
        <v>0.1</v>
      </c>
      <c r="L43" s="250">
        <v>61500</v>
      </c>
      <c r="M43" s="250">
        <v>49500</v>
      </c>
      <c r="N43" s="12" t="s">
        <v>154</v>
      </c>
      <c r="O43" s="355" t="s">
        <v>152</v>
      </c>
      <c r="P43" s="16"/>
    </row>
    <row r="44" spans="1:24" ht="14.5" thickBot="1">
      <c r="A44" s="348" t="s">
        <v>395</v>
      </c>
      <c r="B44" s="349">
        <v>60000</v>
      </c>
      <c r="C44" s="349">
        <v>66000</v>
      </c>
      <c r="D44" s="350">
        <v>3.4</v>
      </c>
      <c r="E44" s="433">
        <v>2.5</v>
      </c>
      <c r="F44" s="352">
        <f>42000/3.413/8050</f>
        <v>1.5286818940368667</v>
      </c>
      <c r="G44" s="350">
        <f t="shared" ref="G44:G71" si="64">J44/3.412</f>
        <v>2.8135990621336457</v>
      </c>
      <c r="H44" s="350">
        <f t="shared" ref="H44:H71" si="65">I44/3.412</f>
        <v>4.425556858147714</v>
      </c>
      <c r="I44" s="350">
        <v>15.1</v>
      </c>
      <c r="J44" s="350">
        <v>9.6</v>
      </c>
      <c r="K44" s="350">
        <v>0.1</v>
      </c>
      <c r="L44" s="349">
        <v>58000</v>
      </c>
      <c r="M44" s="349">
        <v>42000</v>
      </c>
      <c r="N44" s="351" t="s">
        <v>154</v>
      </c>
      <c r="O44" s="357" t="s">
        <v>152</v>
      </c>
      <c r="P44" s="350"/>
      <c r="Q44" s="351"/>
    </row>
    <row r="45" spans="1:24">
      <c r="A45" s="17" t="s">
        <v>27</v>
      </c>
      <c r="B45" s="250">
        <v>20000</v>
      </c>
      <c r="C45" s="250">
        <v>22000</v>
      </c>
      <c r="D45" s="251">
        <v>4</v>
      </c>
      <c r="E45" s="251">
        <v>2.77</v>
      </c>
      <c r="F45" s="251">
        <v>2.0699999999999998</v>
      </c>
      <c r="G45" s="251">
        <f t="shared" si="64"/>
        <v>3.9566236811254396</v>
      </c>
      <c r="H45" s="251">
        <f t="shared" si="65"/>
        <v>4.9824150058616645</v>
      </c>
      <c r="I45" s="251">
        <v>17</v>
      </c>
      <c r="J45" s="251">
        <v>13.5</v>
      </c>
      <c r="K45" s="251">
        <v>0.05</v>
      </c>
      <c r="L45" s="250">
        <v>22000</v>
      </c>
      <c r="M45" s="250">
        <v>22000</v>
      </c>
      <c r="N45" s="252" t="s">
        <v>152</v>
      </c>
      <c r="O45" s="355" t="s">
        <v>154</v>
      </c>
      <c r="P45" s="251">
        <v>-18</v>
      </c>
      <c r="Q45" s="252">
        <v>0.12</v>
      </c>
    </row>
    <row r="46" spans="1:24">
      <c r="A46" s="17" t="s">
        <v>25</v>
      </c>
      <c r="B46" s="250">
        <f>(B45+B47)/2</f>
        <v>20000</v>
      </c>
      <c r="C46" s="250">
        <f>(C45+C47)/2</f>
        <v>22000</v>
      </c>
      <c r="D46" s="251">
        <f t="shared" ref="D46:J46" si="66">(D45+D47)/2</f>
        <v>3.8449999999999998</v>
      </c>
      <c r="E46" s="431">
        <f t="shared" si="66"/>
        <v>2.65</v>
      </c>
      <c r="F46" s="347">
        <f t="shared" si="66"/>
        <v>1.9803249097472921</v>
      </c>
      <c r="G46" s="251">
        <f t="shared" si="64"/>
        <v>3.5902696365767879</v>
      </c>
      <c r="H46" s="251">
        <f t="shared" si="65"/>
        <v>4.6893317702227435</v>
      </c>
      <c r="I46" s="251">
        <f t="shared" si="66"/>
        <v>16</v>
      </c>
      <c r="J46" s="251">
        <f t="shared" si="66"/>
        <v>12.25</v>
      </c>
      <c r="K46" s="251">
        <v>7.5000000000000011E-2</v>
      </c>
      <c r="L46" s="250">
        <v>22000</v>
      </c>
      <c r="M46" s="250">
        <v>22000</v>
      </c>
      <c r="N46" s="252" t="s">
        <v>152</v>
      </c>
      <c r="O46" s="355" t="s">
        <v>154</v>
      </c>
      <c r="P46" s="251">
        <v>-18</v>
      </c>
      <c r="Q46" s="252">
        <v>0.12</v>
      </c>
    </row>
    <row r="47" spans="1:24" ht="14.5" thickBot="1">
      <c r="A47" s="348" t="s">
        <v>26</v>
      </c>
      <c r="B47" s="349">
        <v>20000</v>
      </c>
      <c r="C47" s="349">
        <v>22000</v>
      </c>
      <c r="D47" s="350">
        <v>3.69</v>
      </c>
      <c r="E47" s="350">
        <v>2.5299999999999998</v>
      </c>
      <c r="F47" s="352">
        <f>F45/E45*E47</f>
        <v>1.8906498194945847</v>
      </c>
      <c r="G47" s="350">
        <f t="shared" si="64"/>
        <v>3.2239155920281362</v>
      </c>
      <c r="H47" s="350">
        <f t="shared" si="65"/>
        <v>4.3962485345838216</v>
      </c>
      <c r="I47" s="350">
        <v>15</v>
      </c>
      <c r="J47" s="350">
        <v>11</v>
      </c>
      <c r="K47" s="350">
        <v>0.1</v>
      </c>
      <c r="L47" s="349">
        <v>22000</v>
      </c>
      <c r="M47" s="349">
        <v>22000</v>
      </c>
      <c r="N47" s="351" t="s">
        <v>152</v>
      </c>
      <c r="O47" s="357" t="s">
        <v>154</v>
      </c>
      <c r="P47" s="350">
        <v>-18</v>
      </c>
      <c r="Q47" s="351">
        <v>0.12</v>
      </c>
    </row>
    <row r="48" spans="1:24">
      <c r="A48" s="17" t="s">
        <v>38</v>
      </c>
      <c r="B48" s="250">
        <v>24000</v>
      </c>
      <c r="C48" s="250">
        <v>25000</v>
      </c>
      <c r="D48" s="251">
        <v>4.25</v>
      </c>
      <c r="E48" s="251">
        <v>2.5299999999999998</v>
      </c>
      <c r="F48" s="251">
        <v>1.92</v>
      </c>
      <c r="G48" s="251">
        <f t="shared" si="64"/>
        <v>3.9566236811254396</v>
      </c>
      <c r="H48" s="251">
        <f t="shared" si="65"/>
        <v>5.5685814771395075</v>
      </c>
      <c r="I48" s="251">
        <v>19</v>
      </c>
      <c r="J48" s="251">
        <v>13.5</v>
      </c>
      <c r="K48" s="251">
        <v>0.05</v>
      </c>
      <c r="L48" s="250">
        <v>25000</v>
      </c>
      <c r="M48" s="250">
        <v>25000</v>
      </c>
      <c r="N48" s="252" t="s">
        <v>152</v>
      </c>
      <c r="O48" s="355" t="s">
        <v>154</v>
      </c>
      <c r="P48" s="251">
        <v>-18</v>
      </c>
      <c r="Q48" s="252">
        <v>0.12</v>
      </c>
    </row>
    <row r="49" spans="1:17">
      <c r="A49" s="17" t="s">
        <v>33</v>
      </c>
      <c r="B49" s="250">
        <f>(B48+B50)/2</f>
        <v>24000</v>
      </c>
      <c r="C49" s="250">
        <f>(C48+C50)/2</f>
        <v>25000</v>
      </c>
      <c r="D49" s="251">
        <f t="shared" ref="D49:J49" si="67">(D48+D50)/2</f>
        <v>4.0250000000000004</v>
      </c>
      <c r="E49" s="431">
        <f t="shared" si="67"/>
        <v>2.5199999999999996</v>
      </c>
      <c r="F49" s="347">
        <f t="shared" si="67"/>
        <v>1.9124110671936758</v>
      </c>
      <c r="G49" s="251">
        <f t="shared" si="64"/>
        <v>3.4437280187573274</v>
      </c>
      <c r="H49" s="251">
        <f t="shared" si="65"/>
        <v>5.0556858147713948</v>
      </c>
      <c r="I49" s="251">
        <f t="shared" si="67"/>
        <v>17.25</v>
      </c>
      <c r="J49" s="251">
        <f t="shared" si="67"/>
        <v>11.75</v>
      </c>
      <c r="K49" s="251">
        <v>7.5000000000000011E-2</v>
      </c>
      <c r="L49" s="250">
        <v>25000</v>
      </c>
      <c r="M49" s="250">
        <v>25000</v>
      </c>
      <c r="N49" s="252" t="s">
        <v>152</v>
      </c>
      <c r="O49" s="355" t="s">
        <v>154</v>
      </c>
      <c r="P49" s="251">
        <v>-18</v>
      </c>
      <c r="Q49" s="252">
        <v>0.12</v>
      </c>
    </row>
    <row r="50" spans="1:17" ht="14.5" thickBot="1">
      <c r="A50" s="348" t="s">
        <v>28</v>
      </c>
      <c r="B50" s="349">
        <v>24000</v>
      </c>
      <c r="C50" s="349">
        <v>25000</v>
      </c>
      <c r="D50" s="350">
        <v>3.8</v>
      </c>
      <c r="E50" s="350">
        <v>2.5099999999999998</v>
      </c>
      <c r="F50" s="352">
        <f>F48/E48*E50</f>
        <v>1.9048221343873517</v>
      </c>
      <c r="G50" s="350">
        <f t="shared" si="64"/>
        <v>2.9308323563892147</v>
      </c>
      <c r="H50" s="350">
        <f t="shared" si="65"/>
        <v>4.542790152403283</v>
      </c>
      <c r="I50" s="350">
        <v>15.5</v>
      </c>
      <c r="J50" s="350">
        <v>10</v>
      </c>
      <c r="K50" s="350">
        <v>0.1</v>
      </c>
      <c r="L50" s="349">
        <v>25000</v>
      </c>
      <c r="M50" s="349">
        <v>25000</v>
      </c>
      <c r="N50" s="351" t="s">
        <v>152</v>
      </c>
      <c r="O50" s="357" t="s">
        <v>154</v>
      </c>
      <c r="P50" s="350">
        <v>-18</v>
      </c>
      <c r="Q50" s="351">
        <v>0.12</v>
      </c>
    </row>
    <row r="51" spans="1:17">
      <c r="A51" s="17" t="s">
        <v>39</v>
      </c>
      <c r="B51" s="250">
        <v>30000</v>
      </c>
      <c r="C51" s="250">
        <v>28600</v>
      </c>
      <c r="D51" s="251">
        <v>4</v>
      </c>
      <c r="E51" s="251">
        <v>2.65</v>
      </c>
      <c r="F51" s="251">
        <v>1.75</v>
      </c>
      <c r="G51" s="251">
        <f t="shared" si="64"/>
        <v>3.6635404454865181</v>
      </c>
      <c r="H51" s="251">
        <f t="shared" si="65"/>
        <v>5.2754982415005864</v>
      </c>
      <c r="I51" s="251">
        <v>18</v>
      </c>
      <c r="J51" s="251">
        <v>12.5</v>
      </c>
      <c r="K51" s="251">
        <v>0.05</v>
      </c>
      <c r="L51" s="250">
        <v>28600</v>
      </c>
      <c r="M51" s="250">
        <v>28600</v>
      </c>
      <c r="N51" s="252" t="s">
        <v>152</v>
      </c>
      <c r="O51" s="355" t="s">
        <v>154</v>
      </c>
      <c r="P51" s="251">
        <v>-18</v>
      </c>
      <c r="Q51" s="252">
        <v>0.12</v>
      </c>
    </row>
    <row r="52" spans="1:17">
      <c r="A52" s="17" t="s">
        <v>34</v>
      </c>
      <c r="B52" s="250">
        <f>(B51+B53)/2</f>
        <v>30000</v>
      </c>
      <c r="C52" s="250">
        <f>(C51+C53)/2</f>
        <v>28600</v>
      </c>
      <c r="D52" s="251">
        <f t="shared" ref="D52:J52" si="68">(D51+D53)/2</f>
        <v>3.85</v>
      </c>
      <c r="E52" s="431">
        <f t="shared" si="68"/>
        <v>2.5750000000000002</v>
      </c>
      <c r="F52" s="347">
        <f t="shared" si="68"/>
        <v>1.7004716981132075</v>
      </c>
      <c r="G52" s="251">
        <f t="shared" si="64"/>
        <v>3.3411488862837047</v>
      </c>
      <c r="H52" s="251">
        <f t="shared" si="65"/>
        <v>4.9824150058616645</v>
      </c>
      <c r="I52" s="251">
        <f t="shared" si="68"/>
        <v>17</v>
      </c>
      <c r="J52" s="251">
        <f t="shared" si="68"/>
        <v>11.4</v>
      </c>
      <c r="K52" s="251">
        <v>7.5000000000000011E-2</v>
      </c>
      <c r="L52" s="250">
        <v>28600</v>
      </c>
      <c r="M52" s="250">
        <v>28600</v>
      </c>
      <c r="N52" s="252" t="s">
        <v>152</v>
      </c>
      <c r="O52" s="355" t="s">
        <v>154</v>
      </c>
      <c r="P52" s="251">
        <v>-18</v>
      </c>
      <c r="Q52" s="252">
        <v>0.12</v>
      </c>
    </row>
    <row r="53" spans="1:17" ht="14.5" thickBot="1">
      <c r="A53" s="348" t="s">
        <v>29</v>
      </c>
      <c r="B53" s="349">
        <v>30000</v>
      </c>
      <c r="C53" s="349">
        <v>28600</v>
      </c>
      <c r="D53" s="350">
        <v>3.7</v>
      </c>
      <c r="E53" s="350">
        <v>2.5</v>
      </c>
      <c r="F53" s="352">
        <f>F51/E51*E53</f>
        <v>1.6509433962264153</v>
      </c>
      <c r="G53" s="350">
        <f t="shared" si="64"/>
        <v>3.0187573270808912</v>
      </c>
      <c r="H53" s="350">
        <f t="shared" si="65"/>
        <v>4.6893317702227435</v>
      </c>
      <c r="I53" s="350">
        <v>16</v>
      </c>
      <c r="J53" s="350">
        <v>10.3</v>
      </c>
      <c r="K53" s="350">
        <v>0.1</v>
      </c>
      <c r="L53" s="349">
        <v>28600</v>
      </c>
      <c r="M53" s="349">
        <v>28600</v>
      </c>
      <c r="N53" s="351" t="s">
        <v>152</v>
      </c>
      <c r="O53" s="357" t="s">
        <v>154</v>
      </c>
      <c r="P53" s="350">
        <v>-18</v>
      </c>
      <c r="Q53" s="351">
        <v>0.12</v>
      </c>
    </row>
    <row r="54" spans="1:17">
      <c r="A54" s="17" t="s">
        <v>40</v>
      </c>
      <c r="B54" s="250">
        <v>36000</v>
      </c>
      <c r="C54" s="250">
        <v>45000</v>
      </c>
      <c r="D54" s="251">
        <v>3.95</v>
      </c>
      <c r="E54" s="251">
        <v>2.85</v>
      </c>
      <c r="F54" s="251">
        <v>2.41</v>
      </c>
      <c r="G54" s="251">
        <f t="shared" si="64"/>
        <v>4.1031652989449006</v>
      </c>
      <c r="H54" s="251">
        <f t="shared" si="65"/>
        <v>5.5978898007033999</v>
      </c>
      <c r="I54" s="251">
        <v>19.100000000000001</v>
      </c>
      <c r="J54" s="251">
        <v>14</v>
      </c>
      <c r="K54" s="251">
        <v>0.05</v>
      </c>
      <c r="L54" s="250">
        <v>45000</v>
      </c>
      <c r="M54" s="250">
        <v>45000</v>
      </c>
      <c r="N54" s="252" t="s">
        <v>152</v>
      </c>
      <c r="O54" s="355" t="s">
        <v>154</v>
      </c>
      <c r="P54" s="251">
        <v>-23</v>
      </c>
      <c r="Q54" s="252">
        <v>0.15</v>
      </c>
    </row>
    <row r="55" spans="1:17">
      <c r="A55" s="17" t="s">
        <v>35</v>
      </c>
      <c r="B55" s="250">
        <f>(B54+B56)/2</f>
        <v>36000</v>
      </c>
      <c r="C55" s="250">
        <f>(C54+C56)/2</f>
        <v>45000</v>
      </c>
      <c r="D55" s="251">
        <f t="shared" ref="D55:J55" si="69">(D54+D56)/2</f>
        <v>3.5250000000000004</v>
      </c>
      <c r="E55" s="431">
        <f t="shared" si="69"/>
        <v>2.5750000000000002</v>
      </c>
      <c r="F55" s="347">
        <f t="shared" si="69"/>
        <v>2.1550000000000002</v>
      </c>
      <c r="G55" s="251">
        <f t="shared" si="64"/>
        <v>3.7075029308323564</v>
      </c>
      <c r="H55" s="251">
        <f t="shared" si="65"/>
        <v>5.1143024618991806</v>
      </c>
      <c r="I55" s="251">
        <f t="shared" si="69"/>
        <v>17.450000000000003</v>
      </c>
      <c r="J55" s="251">
        <f t="shared" si="69"/>
        <v>12.65</v>
      </c>
      <c r="K55" s="251">
        <v>7.5000000000000011E-2</v>
      </c>
      <c r="L55" s="250">
        <v>45000</v>
      </c>
      <c r="M55" s="250">
        <v>45000</v>
      </c>
      <c r="N55" s="252" t="s">
        <v>152</v>
      </c>
      <c r="O55" s="355" t="s">
        <v>154</v>
      </c>
      <c r="P55" s="251">
        <v>-23</v>
      </c>
      <c r="Q55" s="252">
        <v>0.15</v>
      </c>
    </row>
    <row r="56" spans="1:17" ht="14.5" thickBot="1">
      <c r="A56" s="348" t="s">
        <v>30</v>
      </c>
      <c r="B56" s="349">
        <v>36000</v>
      </c>
      <c r="C56" s="349">
        <v>45000</v>
      </c>
      <c r="D56" s="350">
        <v>3.1</v>
      </c>
      <c r="E56" s="350">
        <v>2.2999999999999998</v>
      </c>
      <c r="F56" s="433">
        <v>1.9</v>
      </c>
      <c r="G56" s="350">
        <f t="shared" si="64"/>
        <v>3.3118405627198126</v>
      </c>
      <c r="H56" s="350">
        <f t="shared" si="65"/>
        <v>4.6307151230949595</v>
      </c>
      <c r="I56" s="350">
        <v>15.8</v>
      </c>
      <c r="J56" s="350">
        <v>11.3</v>
      </c>
      <c r="K56" s="350">
        <v>0.1</v>
      </c>
      <c r="L56" s="349">
        <v>45000</v>
      </c>
      <c r="M56" s="349">
        <v>45000</v>
      </c>
      <c r="N56" s="351" t="s">
        <v>152</v>
      </c>
      <c r="O56" s="357" t="s">
        <v>154</v>
      </c>
      <c r="P56" s="350">
        <v>-23</v>
      </c>
      <c r="Q56" s="351">
        <v>0.15</v>
      </c>
    </row>
    <row r="57" spans="1:17">
      <c r="A57" s="17" t="s">
        <v>41</v>
      </c>
      <c r="B57" s="250">
        <v>42000</v>
      </c>
      <c r="C57" s="250">
        <v>48000</v>
      </c>
      <c r="D57" s="251">
        <v>4.0999999999999996</v>
      </c>
      <c r="E57" s="251">
        <v>2.85</v>
      </c>
      <c r="F57" s="431">
        <v>2.5099999999999998</v>
      </c>
      <c r="G57" s="251">
        <f t="shared" si="64"/>
        <v>3.9273153575615476</v>
      </c>
      <c r="H57" s="251">
        <f t="shared" si="65"/>
        <v>5.5685814771395075</v>
      </c>
      <c r="I57" s="251">
        <v>19</v>
      </c>
      <c r="J57" s="251">
        <v>13.4</v>
      </c>
      <c r="K57" s="251">
        <v>0.05</v>
      </c>
      <c r="L57" s="250">
        <v>48000</v>
      </c>
      <c r="M57" s="250">
        <v>48000</v>
      </c>
      <c r="N57" s="252" t="s">
        <v>152</v>
      </c>
      <c r="O57" s="355" t="s">
        <v>154</v>
      </c>
      <c r="P57" s="251">
        <v>-23</v>
      </c>
      <c r="Q57" s="252">
        <v>0.15</v>
      </c>
    </row>
    <row r="58" spans="1:17">
      <c r="A58" s="17" t="s">
        <v>36</v>
      </c>
      <c r="B58" s="250">
        <f>(B57+B59)/2</f>
        <v>42000</v>
      </c>
      <c r="C58" s="250">
        <f>(C57+C59)/2</f>
        <v>48000</v>
      </c>
      <c r="D58" s="251">
        <f t="shared" ref="D58:J58" si="70">(D57+D59)/2</f>
        <v>3.665</v>
      </c>
      <c r="E58" s="431">
        <f t="shared" si="70"/>
        <v>2.6749999999999998</v>
      </c>
      <c r="F58" s="434">
        <f t="shared" si="70"/>
        <v>2.2450000000000001</v>
      </c>
      <c r="G58" s="251">
        <f t="shared" si="64"/>
        <v>3.5463071512309501</v>
      </c>
      <c r="H58" s="251">
        <f t="shared" si="65"/>
        <v>4.9824150058616645</v>
      </c>
      <c r="I58" s="251">
        <f t="shared" si="70"/>
        <v>17</v>
      </c>
      <c r="J58" s="251">
        <f t="shared" si="70"/>
        <v>12.100000000000001</v>
      </c>
      <c r="K58" s="251">
        <v>7.5000000000000011E-2</v>
      </c>
      <c r="L58" s="250">
        <v>48000</v>
      </c>
      <c r="M58" s="250">
        <v>48000</v>
      </c>
      <c r="N58" s="252" t="s">
        <v>152</v>
      </c>
      <c r="O58" s="355" t="s">
        <v>154</v>
      </c>
      <c r="P58" s="251">
        <v>-23</v>
      </c>
      <c r="Q58" s="252">
        <v>0.15</v>
      </c>
    </row>
    <row r="59" spans="1:17" ht="14.5" thickBot="1">
      <c r="A59" s="348" t="s">
        <v>31</v>
      </c>
      <c r="B59" s="349">
        <v>42000</v>
      </c>
      <c r="C59" s="349">
        <v>48000</v>
      </c>
      <c r="D59" s="350">
        <v>3.23</v>
      </c>
      <c r="E59" s="350">
        <v>2.5</v>
      </c>
      <c r="F59" s="433">
        <v>1.98</v>
      </c>
      <c r="G59" s="350">
        <f t="shared" si="64"/>
        <v>3.1652989449003521</v>
      </c>
      <c r="H59" s="350">
        <f t="shared" si="65"/>
        <v>4.3962485345838216</v>
      </c>
      <c r="I59" s="350">
        <v>15</v>
      </c>
      <c r="J59" s="350">
        <v>10.8</v>
      </c>
      <c r="K59" s="350">
        <v>0.1</v>
      </c>
      <c r="L59" s="349">
        <v>48000</v>
      </c>
      <c r="M59" s="349">
        <v>48000</v>
      </c>
      <c r="N59" s="351" t="s">
        <v>152</v>
      </c>
      <c r="O59" s="357" t="s">
        <v>154</v>
      </c>
      <c r="P59" s="350">
        <v>-23</v>
      </c>
      <c r="Q59" s="351">
        <v>0.15</v>
      </c>
    </row>
    <row r="60" spans="1:17">
      <c r="A60" s="17" t="s">
        <v>42</v>
      </c>
      <c r="B60" s="250">
        <v>48000</v>
      </c>
      <c r="C60" s="250">
        <v>54000</v>
      </c>
      <c r="D60" s="251">
        <v>3.75</v>
      </c>
      <c r="E60" s="251">
        <v>2.7</v>
      </c>
      <c r="F60" s="251">
        <v>2.29</v>
      </c>
      <c r="G60" s="251">
        <f t="shared" si="64"/>
        <v>3.5169988276670576</v>
      </c>
      <c r="H60" s="251">
        <f t="shared" si="65"/>
        <v>5.539273153575615</v>
      </c>
      <c r="I60" s="251">
        <v>18.899999999999999</v>
      </c>
      <c r="J60" s="251">
        <v>12</v>
      </c>
      <c r="K60" s="251">
        <v>0.05</v>
      </c>
      <c r="L60" s="250">
        <v>54000</v>
      </c>
      <c r="M60" s="250">
        <v>54000</v>
      </c>
      <c r="N60" s="252" t="s">
        <v>152</v>
      </c>
      <c r="O60" s="355" t="s">
        <v>154</v>
      </c>
      <c r="P60" s="251">
        <v>-23</v>
      </c>
      <c r="Q60" s="252">
        <v>0.15</v>
      </c>
    </row>
    <row r="61" spans="1:17">
      <c r="A61" s="17" t="s">
        <v>37</v>
      </c>
      <c r="B61" s="250">
        <f>(B60+B62)/2</f>
        <v>48000</v>
      </c>
      <c r="C61" s="250">
        <f>(C60+C62)/2</f>
        <v>54000</v>
      </c>
      <c r="D61" s="251">
        <f t="shared" ref="D61:J61" si="71">(D60+D62)/2</f>
        <v>3.46</v>
      </c>
      <c r="E61" s="431">
        <f t="shared" si="71"/>
        <v>2.5499999999999998</v>
      </c>
      <c r="F61" s="347">
        <f t="shared" si="71"/>
        <v>2.1627777777777775</v>
      </c>
      <c r="G61" s="251">
        <f t="shared" si="64"/>
        <v>3.1506447831184059</v>
      </c>
      <c r="H61" s="251">
        <f t="shared" si="65"/>
        <v>4.9237983587338796</v>
      </c>
      <c r="I61" s="251">
        <f t="shared" si="71"/>
        <v>16.799999999999997</v>
      </c>
      <c r="J61" s="251">
        <f t="shared" si="71"/>
        <v>10.75</v>
      </c>
      <c r="K61" s="251">
        <v>7.5000000000000011E-2</v>
      </c>
      <c r="L61" s="250">
        <v>54000</v>
      </c>
      <c r="M61" s="250">
        <v>54000</v>
      </c>
      <c r="N61" s="252" t="s">
        <v>152</v>
      </c>
      <c r="O61" s="355" t="s">
        <v>154</v>
      </c>
      <c r="P61" s="251">
        <v>-23</v>
      </c>
      <c r="Q61" s="252">
        <v>0.15</v>
      </c>
    </row>
    <row r="62" spans="1:17" ht="14.5" thickBot="1">
      <c r="A62" s="348" t="s">
        <v>32</v>
      </c>
      <c r="B62" s="349">
        <v>48000</v>
      </c>
      <c r="C62" s="349">
        <v>54000</v>
      </c>
      <c r="D62" s="350">
        <v>3.17</v>
      </c>
      <c r="E62" s="350">
        <v>2.4</v>
      </c>
      <c r="F62" s="352">
        <f>F60/E60*E62</f>
        <v>2.0355555555555553</v>
      </c>
      <c r="G62" s="350">
        <f t="shared" si="64"/>
        <v>2.7842907385697537</v>
      </c>
      <c r="H62" s="350">
        <f t="shared" si="65"/>
        <v>4.3083235638921451</v>
      </c>
      <c r="I62" s="350">
        <v>14.7</v>
      </c>
      <c r="J62" s="350">
        <v>9.5</v>
      </c>
      <c r="K62" s="350">
        <v>0.1</v>
      </c>
      <c r="L62" s="349">
        <v>54000</v>
      </c>
      <c r="M62" s="349">
        <v>54000</v>
      </c>
      <c r="N62" s="351" t="s">
        <v>152</v>
      </c>
      <c r="O62" s="357" t="s">
        <v>154</v>
      </c>
      <c r="P62" s="350">
        <v>-23</v>
      </c>
      <c r="Q62" s="351">
        <v>0.15</v>
      </c>
    </row>
    <row r="63" spans="1:17">
      <c r="A63" s="17" t="s">
        <v>433</v>
      </c>
      <c r="B63" s="250">
        <v>36000</v>
      </c>
      <c r="C63" s="250">
        <v>42000</v>
      </c>
      <c r="D63" s="251">
        <v>3.9</v>
      </c>
      <c r="E63" s="253">
        <f>L63/3412/(0.93*3.1)</f>
        <v>3.074171712008666</v>
      </c>
      <c r="F63" s="253">
        <f>M63/3412/(0.725*3.1)</f>
        <v>3.2861835542161604</v>
      </c>
      <c r="G63" s="251">
        <f t="shared" si="64"/>
        <v>4.1617819460726846</v>
      </c>
      <c r="H63" s="251">
        <f t="shared" si="65"/>
        <v>6.1547479484173504</v>
      </c>
      <c r="I63" s="251">
        <v>21</v>
      </c>
      <c r="J63" s="251">
        <v>14.2</v>
      </c>
      <c r="K63" s="251">
        <v>0.05</v>
      </c>
      <c r="L63" s="250">
        <f>0.72*C63</f>
        <v>30240</v>
      </c>
      <c r="M63" s="250">
        <f>C63*0.6</f>
        <v>25200</v>
      </c>
      <c r="N63" s="252" t="s">
        <v>154</v>
      </c>
      <c r="O63" s="355" t="s">
        <v>152</v>
      </c>
      <c r="P63" s="251"/>
      <c r="Q63" s="252"/>
    </row>
    <row r="64" spans="1:17">
      <c r="A64" s="17" t="s">
        <v>436</v>
      </c>
      <c r="B64" s="250">
        <f>(B63+B65)/2</f>
        <v>36000</v>
      </c>
      <c r="C64" s="250">
        <f>(C63+C65)/2</f>
        <v>42000</v>
      </c>
      <c r="D64" s="251">
        <f t="shared" ref="D64:J64" si="72">(D63+D65)/2</f>
        <v>3.75</v>
      </c>
      <c r="E64" s="431">
        <f t="shared" si="72"/>
        <v>2.9559343384698713</v>
      </c>
      <c r="F64" s="347">
        <f t="shared" si="72"/>
        <v>3.1597918790540005</v>
      </c>
      <c r="G64" s="251">
        <f t="shared" si="64"/>
        <v>3.9273153575615471</v>
      </c>
      <c r="H64" s="251">
        <f t="shared" si="65"/>
        <v>5.3634232121922629</v>
      </c>
      <c r="I64" s="251">
        <f t="shared" si="72"/>
        <v>18.3</v>
      </c>
      <c r="J64" s="251">
        <f t="shared" si="72"/>
        <v>13.399999999999999</v>
      </c>
      <c r="K64" s="251">
        <v>7.5000000000000011E-2</v>
      </c>
      <c r="L64" s="250">
        <f t="shared" ref="L64:L65" si="73">0.72*C64</f>
        <v>30240</v>
      </c>
      <c r="M64" s="250">
        <f t="shared" ref="M64:M65" si="74">C64*0.6</f>
        <v>25200</v>
      </c>
      <c r="N64" s="252" t="s">
        <v>154</v>
      </c>
      <c r="O64" s="355" t="s">
        <v>152</v>
      </c>
      <c r="P64" s="251"/>
      <c r="Q64" s="252"/>
    </row>
    <row r="65" spans="1:20" ht="14.5" thickBot="1">
      <c r="A65" s="17" t="s">
        <v>439</v>
      </c>
      <c r="B65" s="250">
        <v>36000</v>
      </c>
      <c r="C65" s="250">
        <v>42000</v>
      </c>
      <c r="D65" s="251">
        <v>3.6</v>
      </c>
      <c r="E65" s="352">
        <f>$D$65*E63/$D$63</f>
        <v>2.8376969649310766</v>
      </c>
      <c r="F65" s="352">
        <f>$D$65*F63/$D$63</f>
        <v>3.0334002038918406</v>
      </c>
      <c r="G65" s="251">
        <f t="shared" si="64"/>
        <v>3.6928487690504102</v>
      </c>
      <c r="H65" s="251">
        <f t="shared" si="65"/>
        <v>4.5720984759671746</v>
      </c>
      <c r="I65" s="251">
        <v>15.6</v>
      </c>
      <c r="J65" s="251">
        <v>12.6</v>
      </c>
      <c r="K65" s="251">
        <v>0.1</v>
      </c>
      <c r="L65" s="250">
        <f t="shared" si="73"/>
        <v>30240</v>
      </c>
      <c r="M65" s="250">
        <f t="shared" si="74"/>
        <v>25200</v>
      </c>
      <c r="N65" s="252" t="s">
        <v>154</v>
      </c>
      <c r="O65" s="355" t="s">
        <v>152</v>
      </c>
      <c r="P65" s="251"/>
      <c r="Q65" s="252"/>
    </row>
    <row r="66" spans="1:20">
      <c r="A66" s="342" t="s">
        <v>434</v>
      </c>
      <c r="B66" s="343">
        <v>48000</v>
      </c>
      <c r="C66" s="343">
        <v>54000</v>
      </c>
      <c r="D66" s="344">
        <v>3.8</v>
      </c>
      <c r="E66" s="253">
        <f>L66/3412/(0.93*4.085)</f>
        <v>2.9994541271215871</v>
      </c>
      <c r="F66" s="253">
        <f>M66/3412/(0.725*4.085)</f>
        <v>3.2063130324403177</v>
      </c>
      <c r="G66" s="344">
        <f t="shared" si="64"/>
        <v>3.6928487690504102</v>
      </c>
      <c r="H66" s="344">
        <f t="shared" si="65"/>
        <v>5.9202813599062134</v>
      </c>
      <c r="I66" s="344">
        <v>20.2</v>
      </c>
      <c r="J66" s="344">
        <v>12.6</v>
      </c>
      <c r="K66" s="344">
        <v>0.05</v>
      </c>
      <c r="L66" s="343">
        <f>0.72*C66</f>
        <v>38880</v>
      </c>
      <c r="M66" s="343">
        <f>C66*0.6</f>
        <v>32400</v>
      </c>
      <c r="N66" s="346" t="s">
        <v>154</v>
      </c>
      <c r="O66" s="356" t="s">
        <v>152</v>
      </c>
      <c r="P66" s="344"/>
      <c r="Q66" s="346"/>
    </row>
    <row r="67" spans="1:20">
      <c r="A67" s="17" t="s">
        <v>437</v>
      </c>
      <c r="B67" s="250">
        <f>(B66+B68)/2</f>
        <v>48000</v>
      </c>
      <c r="C67" s="250">
        <f>(C66+C68)/2</f>
        <v>54000</v>
      </c>
      <c r="D67" s="251">
        <f t="shared" ref="D67:J67" si="75">(D66+D68)/2</f>
        <v>3.55</v>
      </c>
      <c r="E67" s="431">
        <f t="shared" si="75"/>
        <v>2.8021216187583247</v>
      </c>
      <c r="F67" s="347">
        <f t="shared" si="75"/>
        <v>2.9953713855692445</v>
      </c>
      <c r="G67" s="251">
        <f t="shared" si="64"/>
        <v>3.5023446658851114</v>
      </c>
      <c r="H67" s="251">
        <f t="shared" si="65"/>
        <v>5.3780773739742092</v>
      </c>
      <c r="I67" s="251">
        <f t="shared" si="75"/>
        <v>18.350000000000001</v>
      </c>
      <c r="J67" s="251">
        <f t="shared" si="75"/>
        <v>11.95</v>
      </c>
      <c r="K67" s="251">
        <v>7.5000000000000011E-2</v>
      </c>
      <c r="L67" s="250">
        <f t="shared" ref="L67:L68" si="76">0.72*C67</f>
        <v>38880</v>
      </c>
      <c r="M67" s="250">
        <f t="shared" ref="M67:M68" si="77">C67*0.6</f>
        <v>32400</v>
      </c>
      <c r="N67" s="252" t="s">
        <v>154</v>
      </c>
      <c r="O67" s="355" t="s">
        <v>152</v>
      </c>
      <c r="P67" s="251"/>
      <c r="Q67" s="252"/>
    </row>
    <row r="68" spans="1:20" ht="14.5" thickBot="1">
      <c r="A68" s="348" t="s">
        <v>440</v>
      </c>
      <c r="B68" s="349">
        <v>48000</v>
      </c>
      <c r="C68" s="349">
        <v>54000</v>
      </c>
      <c r="D68" s="350">
        <v>3.3</v>
      </c>
      <c r="E68" s="352">
        <f>$D$68*E66/$D$66</f>
        <v>2.6047891103950622</v>
      </c>
      <c r="F68" s="352">
        <f>$D$68*F66/$D$66</f>
        <v>2.7844297386981709</v>
      </c>
      <c r="G68" s="350">
        <f t="shared" si="64"/>
        <v>3.3118405627198126</v>
      </c>
      <c r="H68" s="350">
        <f t="shared" si="65"/>
        <v>4.835873388042204</v>
      </c>
      <c r="I68" s="350">
        <v>16.5</v>
      </c>
      <c r="J68" s="350">
        <v>11.3</v>
      </c>
      <c r="K68" s="350">
        <v>0.1</v>
      </c>
      <c r="L68" s="349">
        <f t="shared" si="76"/>
        <v>38880</v>
      </c>
      <c r="M68" s="349">
        <f t="shared" si="77"/>
        <v>32400</v>
      </c>
      <c r="N68" s="351" t="s">
        <v>154</v>
      </c>
      <c r="O68" s="357" t="s">
        <v>152</v>
      </c>
      <c r="P68" s="350"/>
      <c r="Q68" s="351"/>
    </row>
    <row r="69" spans="1:20">
      <c r="A69" s="342" t="s">
        <v>435</v>
      </c>
      <c r="B69" s="343">
        <v>60000</v>
      </c>
      <c r="C69" s="343">
        <v>66000</v>
      </c>
      <c r="D69" s="344">
        <v>3.7</v>
      </c>
      <c r="E69" s="253">
        <f>L69/3412/(1.04*5.45)</f>
        <v>2.5254384665852019</v>
      </c>
      <c r="F69" s="253">
        <f>M69/3412/(0.72*5.45)</f>
        <v>2.9577207266313175</v>
      </c>
      <c r="G69" s="344">
        <f t="shared" si="64"/>
        <v>3.6635404454865181</v>
      </c>
      <c r="H69" s="344">
        <f t="shared" si="65"/>
        <v>5.4513481828839394</v>
      </c>
      <c r="I69" s="344">
        <v>18.600000000000001</v>
      </c>
      <c r="J69" s="344">
        <v>12.5</v>
      </c>
      <c r="K69" s="344">
        <v>0.05</v>
      </c>
      <c r="L69" s="343">
        <f>0.74*C69</f>
        <v>48840</v>
      </c>
      <c r="M69" s="343">
        <f>0.6*C69</f>
        <v>39600</v>
      </c>
      <c r="N69" s="346" t="s">
        <v>154</v>
      </c>
      <c r="O69" s="356" t="s">
        <v>152</v>
      </c>
      <c r="P69" s="344"/>
      <c r="Q69" s="346"/>
    </row>
    <row r="70" spans="1:20">
      <c r="A70" s="17" t="s">
        <v>438</v>
      </c>
      <c r="B70" s="250">
        <f>(B69+B71)/2</f>
        <v>60000</v>
      </c>
      <c r="C70" s="250">
        <f>(C69+C71)/2</f>
        <v>66000</v>
      </c>
      <c r="D70" s="251">
        <f t="shared" ref="D70:J70" si="78">(D69+D71)/2</f>
        <v>3.6</v>
      </c>
      <c r="E70" s="431">
        <f t="shared" si="78"/>
        <v>2.4571833728937102</v>
      </c>
      <c r="F70" s="347">
        <f t="shared" si="78"/>
        <v>2.8777823286142548</v>
      </c>
      <c r="G70" s="251">
        <f t="shared" si="64"/>
        <v>3.4583821805392736</v>
      </c>
      <c r="H70" s="251">
        <f t="shared" si="65"/>
        <v>5.2168815943728024</v>
      </c>
      <c r="I70" s="251">
        <f t="shared" si="78"/>
        <v>17.8</v>
      </c>
      <c r="J70" s="251">
        <f t="shared" si="78"/>
        <v>11.8</v>
      </c>
      <c r="K70" s="251">
        <v>7.5000000000000011E-2</v>
      </c>
      <c r="L70" s="250">
        <f t="shared" ref="L70:L71" si="79">0.74*C70</f>
        <v>48840</v>
      </c>
      <c r="M70" s="250">
        <f t="shared" ref="M70:M71" si="80">0.6*C70</f>
        <v>39600</v>
      </c>
      <c r="N70" s="252" t="s">
        <v>154</v>
      </c>
      <c r="O70" s="355" t="s">
        <v>152</v>
      </c>
      <c r="P70" s="251"/>
      <c r="Q70" s="252"/>
    </row>
    <row r="71" spans="1:20" ht="14.5" thickBot="1">
      <c r="A71" s="348" t="s">
        <v>441</v>
      </c>
      <c r="B71" s="349">
        <v>60000</v>
      </c>
      <c r="C71" s="349">
        <v>66000</v>
      </c>
      <c r="D71" s="350">
        <v>3.5</v>
      </c>
      <c r="E71" s="352">
        <f>$D$71*E69/$D$69</f>
        <v>2.3889282792022182</v>
      </c>
      <c r="F71" s="352">
        <f>$D$71*F69/$D$69</f>
        <v>2.7978439305971921</v>
      </c>
      <c r="G71" s="350">
        <f t="shared" si="64"/>
        <v>3.2532239155920282</v>
      </c>
      <c r="H71" s="350">
        <f t="shared" si="65"/>
        <v>4.9824150058616645</v>
      </c>
      <c r="I71" s="350">
        <v>17</v>
      </c>
      <c r="J71" s="350">
        <v>11.1</v>
      </c>
      <c r="K71" s="350">
        <v>0.1</v>
      </c>
      <c r="L71" s="349">
        <f t="shared" si="79"/>
        <v>48840</v>
      </c>
      <c r="M71" s="349">
        <f t="shared" si="80"/>
        <v>39600</v>
      </c>
      <c r="N71" s="351" t="s">
        <v>154</v>
      </c>
      <c r="O71" s="357" t="s">
        <v>152</v>
      </c>
      <c r="P71" s="350"/>
      <c r="Q71" s="351"/>
    </row>
    <row r="72" spans="1:20">
      <c r="A72" s="14" t="s">
        <v>281</v>
      </c>
      <c r="B72" s="15">
        <f>'Multiple_Non Hyper'!AF46</f>
        <v>49400</v>
      </c>
      <c r="C72" s="15">
        <f>'Multiple_Non Hyper'!AG46</f>
        <v>54000</v>
      </c>
      <c r="D72" s="217">
        <f>'Multiple_Non Hyper'!AH46</f>
        <v>3.4433198380566798</v>
      </c>
      <c r="E72" s="217">
        <f>'Multiple_Non Hyper'!AI46</f>
        <v>2.7635222672064774</v>
      </c>
      <c r="F72" s="217">
        <f>'Multiple_Non Hyper'!AJ46</f>
        <v>2.5677472889033011</v>
      </c>
      <c r="G72" s="217">
        <f>'Multiple_Non Hyper'!AK46</f>
        <v>3.053998509665814</v>
      </c>
      <c r="H72" s="217">
        <f>'Multiple_Non Hyper'!AL46</f>
        <v>5.8265421873739269</v>
      </c>
      <c r="I72" s="217">
        <f>'Multiple_Non Hyper'!AM46</f>
        <v>19.880161943319838</v>
      </c>
      <c r="J72" s="217">
        <f>'Multiple_Non Hyper'!AN46</f>
        <v>10.420242914979756</v>
      </c>
      <c r="K72" s="217">
        <f>'Multiple_Non Hyper'!AO46</f>
        <v>8.0161943319838058E-2</v>
      </c>
      <c r="L72" s="15">
        <f>'Multiple_Non Hyper'!AP46</f>
        <v>43000</v>
      </c>
      <c r="M72" s="15">
        <f>'Multiple_Non Hyper'!AQ46</f>
        <v>32420</v>
      </c>
      <c r="N72" s="12" t="s">
        <v>154</v>
      </c>
      <c r="O72" s="355" t="s">
        <v>152</v>
      </c>
      <c r="P72" s="16">
        <f>'Multiple_Non Hyper'!AR46</f>
        <v>1.0032388663967611</v>
      </c>
      <c r="Q72" s="12">
        <f>'Multiple_Non Hyper'!AS46</f>
        <v>0</v>
      </c>
    </row>
    <row r="73" spans="1:20">
      <c r="A73" s="14" t="s">
        <v>280</v>
      </c>
      <c r="B73" s="15">
        <f>'Multiple_Hyper Ht'!AF34</f>
        <v>132000</v>
      </c>
      <c r="C73" s="15">
        <f>'Multiple_Hyper Ht'!AG34</f>
        <v>147200</v>
      </c>
      <c r="D73" s="217">
        <f>'Multiple_Hyper Ht'!AH34</f>
        <v>3.372727272727273</v>
      </c>
      <c r="E73" s="217">
        <f>'Multiple_Hyper Ht'!AI34</f>
        <v>2.3909090909090907</v>
      </c>
      <c r="F73" s="217">
        <f>'Multiple_Hyper Ht'!AJ34</f>
        <v>1.7867924528301886</v>
      </c>
      <c r="G73" s="217">
        <f>'Multiple_Hyper Ht'!AK34</f>
        <v>3.1786209101566665</v>
      </c>
      <c r="H73" s="217">
        <f>'Multiple_Hyper Ht'!AL34</f>
        <v>4.6573590536075882</v>
      </c>
      <c r="I73" s="217">
        <f>'Multiple_Hyper Ht'!AM34</f>
        <v>15.890909090909091</v>
      </c>
      <c r="J73" s="217">
        <f>'Multiple_Hyper Ht'!AN34</f>
        <v>10.845454545454544</v>
      </c>
      <c r="K73" s="217">
        <f>'Multiple_Hyper Ht'!AO34</f>
        <v>0.1</v>
      </c>
      <c r="L73" s="15">
        <f>'Multiple_Hyper Ht'!AP34</f>
        <v>147200</v>
      </c>
      <c r="M73" s="15">
        <f>'Multiple_Hyper Ht'!AQ34</f>
        <v>147200</v>
      </c>
      <c r="N73" s="12" t="s">
        <v>152</v>
      </c>
      <c r="O73" s="355" t="s">
        <v>154</v>
      </c>
      <c r="P73" s="16">
        <f>'Multiple_Hyper Ht'!AR34</f>
        <v>-20.727272727272727</v>
      </c>
      <c r="Q73" s="217">
        <f>'Multiple_Hyper Ht'!AS34</f>
        <v>0.27272727272727271</v>
      </c>
    </row>
    <row r="75" spans="1:20">
      <c r="A75" s="17" t="s">
        <v>257</v>
      </c>
      <c r="B75" s="15">
        <v>9000</v>
      </c>
      <c r="C75" s="15">
        <v>10900</v>
      </c>
      <c r="D75" s="16">
        <v>4.2</v>
      </c>
      <c r="E75" s="16">
        <v>3.2785582291811552</v>
      </c>
      <c r="F75" s="16">
        <v>3.1262211801484954</v>
      </c>
      <c r="G75" s="16">
        <f>J75/3.412</f>
        <v>3.9859320046893316</v>
      </c>
      <c r="H75" s="16">
        <f>I75/3.412</f>
        <v>6.7995310668229774</v>
      </c>
      <c r="I75" s="16">
        <v>23.2</v>
      </c>
      <c r="J75" s="16">
        <v>13.6</v>
      </c>
      <c r="K75" s="16">
        <v>0.03</v>
      </c>
      <c r="L75" s="15">
        <v>6600</v>
      </c>
      <c r="M75" s="15">
        <v>4800</v>
      </c>
      <c r="N75" s="12" t="s">
        <v>154</v>
      </c>
      <c r="O75" s="355" t="s">
        <v>152</v>
      </c>
      <c r="P75" s="16"/>
    </row>
    <row r="76" spans="1:20">
      <c r="A76" s="17" t="s">
        <v>258</v>
      </c>
      <c r="B76" s="15">
        <v>12000</v>
      </c>
      <c r="C76" s="15">
        <v>14400</v>
      </c>
      <c r="D76" s="16">
        <v>3.61</v>
      </c>
      <c r="E76" s="16">
        <v>2.8657027484694542</v>
      </c>
      <c r="F76" s="16">
        <v>2.6759773688771089</v>
      </c>
      <c r="G76" s="16">
        <f>J76/3.412</f>
        <v>3.6635404454865181</v>
      </c>
      <c r="H76" s="16">
        <f>I76/3.412</f>
        <v>6.6529894490035169</v>
      </c>
      <c r="I76" s="16">
        <v>22.7</v>
      </c>
      <c r="J76" s="16">
        <v>12.5</v>
      </c>
      <c r="K76" s="16">
        <v>0.03</v>
      </c>
      <c r="L76" s="15">
        <v>8800</v>
      </c>
      <c r="M76" s="15">
        <v>6300</v>
      </c>
      <c r="N76" s="12" t="s">
        <v>154</v>
      </c>
      <c r="O76" s="355" t="s">
        <v>152</v>
      </c>
      <c r="P76" s="16"/>
      <c r="T76" s="252"/>
    </row>
    <row r="77" spans="1:20">
      <c r="A77" s="17" t="s">
        <v>259</v>
      </c>
      <c r="B77" s="15">
        <v>14000</v>
      </c>
      <c r="C77" s="15">
        <v>18000</v>
      </c>
      <c r="D77" s="16">
        <v>3.3</v>
      </c>
      <c r="E77" s="16">
        <v>2.6494724501758502</v>
      </c>
      <c r="F77" s="16">
        <v>2.5166930016820426</v>
      </c>
      <c r="G77" s="16">
        <f>J77/3.412</f>
        <v>3.8100820633059791</v>
      </c>
      <c r="H77" s="16">
        <f>I77/3.412</f>
        <v>6.6529894490035169</v>
      </c>
      <c r="I77" s="16">
        <v>22.7</v>
      </c>
      <c r="J77" s="16">
        <v>13</v>
      </c>
      <c r="K77" s="16">
        <v>0.03</v>
      </c>
      <c r="L77" s="15">
        <v>11300</v>
      </c>
      <c r="M77" s="15">
        <v>7900</v>
      </c>
      <c r="N77" s="12" t="s">
        <v>154</v>
      </c>
      <c r="O77" s="355" t="s">
        <v>152</v>
      </c>
      <c r="P77" s="16"/>
      <c r="T77" s="252"/>
    </row>
    <row r="78" spans="1:20">
      <c r="A78" s="17" t="s">
        <v>260</v>
      </c>
      <c r="B78" s="15">
        <v>17200</v>
      </c>
      <c r="C78" s="15">
        <v>21600</v>
      </c>
      <c r="D78" s="16">
        <v>3.33</v>
      </c>
      <c r="E78" s="16">
        <v>2.6182102383743651</v>
      </c>
      <c r="F78" s="16">
        <v>2.4245976766492592</v>
      </c>
      <c r="G78" s="16">
        <f>J78/3.412</f>
        <v>3.0773739742086752</v>
      </c>
      <c r="H78" s="16">
        <f>I78/3.412</f>
        <v>5.6271981242672915</v>
      </c>
      <c r="I78" s="16">
        <v>19.2</v>
      </c>
      <c r="J78" s="16">
        <v>10.5</v>
      </c>
      <c r="K78" s="16">
        <v>0.03</v>
      </c>
      <c r="L78" s="15">
        <v>13400</v>
      </c>
      <c r="M78" s="15">
        <v>9100</v>
      </c>
      <c r="N78" s="12" t="s">
        <v>154</v>
      </c>
      <c r="O78" s="355" t="s">
        <v>152</v>
      </c>
      <c r="P78" s="16"/>
      <c r="T78" s="252"/>
    </row>
    <row r="79" spans="1:20">
      <c r="A79" s="17" t="s">
        <v>261</v>
      </c>
      <c r="B79" s="15">
        <v>22400</v>
      </c>
      <c r="C79" s="15">
        <v>27600</v>
      </c>
      <c r="D79" s="16">
        <v>3.46</v>
      </c>
      <c r="E79" s="16">
        <v>2.605184316790413</v>
      </c>
      <c r="F79" s="16">
        <v>2.569787790747065</v>
      </c>
      <c r="G79" s="16">
        <f>J79/3.412</f>
        <v>3.6635404454865181</v>
      </c>
      <c r="H79" s="16">
        <f>I79/3.412</f>
        <v>5.5685814771395075</v>
      </c>
      <c r="I79" s="16">
        <v>19</v>
      </c>
      <c r="J79" s="16">
        <v>12.5</v>
      </c>
      <c r="K79" s="16">
        <v>0.03</v>
      </c>
      <c r="L79" s="15">
        <v>16000</v>
      </c>
      <c r="M79" s="15">
        <v>12100</v>
      </c>
      <c r="N79" s="12" t="s">
        <v>154</v>
      </c>
      <c r="O79" s="355" t="s">
        <v>152</v>
      </c>
      <c r="P79" s="16"/>
      <c r="T79" s="252"/>
    </row>
    <row r="80" spans="1:20">
      <c r="A80" s="14" t="s">
        <v>8</v>
      </c>
      <c r="B80" s="15">
        <v>9000</v>
      </c>
      <c r="C80" s="15">
        <v>10900</v>
      </c>
      <c r="D80" s="16">
        <v>4.4981285309277288</v>
      </c>
      <c r="E80" s="16">
        <v>3.0201266650138607</v>
      </c>
      <c r="F80" s="16">
        <v>2.19</v>
      </c>
      <c r="G80" s="16">
        <f t="shared" ref="G80:G81" si="81">J80/3.412</f>
        <v>4.542790152403283</v>
      </c>
      <c r="H80" s="16">
        <f t="shared" ref="H80:H81" si="82">I80/3.412</f>
        <v>7.6201641266119582</v>
      </c>
      <c r="I80" s="16">
        <v>26</v>
      </c>
      <c r="J80" s="16">
        <v>15.5</v>
      </c>
      <c r="K80" s="12">
        <v>0.03</v>
      </c>
      <c r="L80" s="15">
        <v>10900</v>
      </c>
      <c r="M80" s="15">
        <v>10900</v>
      </c>
      <c r="N80" s="12" t="s">
        <v>152</v>
      </c>
      <c r="O80" s="355" t="s">
        <v>154</v>
      </c>
      <c r="P80" s="16">
        <v>-18</v>
      </c>
      <c r="Q80" s="12">
        <v>0.12</v>
      </c>
      <c r="T80" s="252"/>
    </row>
    <row r="81" spans="1:20">
      <c r="A81" s="14" t="s">
        <v>9</v>
      </c>
      <c r="B81" s="15">
        <v>12000</v>
      </c>
      <c r="C81" s="15">
        <v>13600</v>
      </c>
      <c r="D81" s="16">
        <v>4.2</v>
      </c>
      <c r="E81" s="16">
        <v>3.0398476413712276</v>
      </c>
      <c r="F81" s="16">
        <v>2.46</v>
      </c>
      <c r="G81" s="16">
        <f t="shared" si="81"/>
        <v>3.7807737397420871</v>
      </c>
      <c r="H81" s="16">
        <f t="shared" si="82"/>
        <v>6.7409144196951933</v>
      </c>
      <c r="I81" s="16">
        <v>23</v>
      </c>
      <c r="J81" s="16">
        <v>12.9</v>
      </c>
      <c r="K81" s="12">
        <v>0.03</v>
      </c>
      <c r="L81" s="15">
        <v>13600</v>
      </c>
      <c r="M81" s="15">
        <v>13600</v>
      </c>
      <c r="N81" s="12" t="s">
        <v>152</v>
      </c>
      <c r="O81" s="355" t="s">
        <v>154</v>
      </c>
      <c r="P81" s="16">
        <v>-18</v>
      </c>
      <c r="Q81" s="12">
        <v>0.12</v>
      </c>
      <c r="T81" s="252"/>
    </row>
    <row r="82" spans="1:20">
      <c r="A82" s="14" t="s">
        <v>10</v>
      </c>
      <c r="B82" s="15">
        <v>18000</v>
      </c>
      <c r="C82" s="15">
        <v>21600</v>
      </c>
      <c r="D82" s="16">
        <v>4.1095734034497582</v>
      </c>
      <c r="E82" s="16">
        <v>2.7645718930465111</v>
      </c>
      <c r="F82" s="16">
        <v>2.0305182332724088</v>
      </c>
      <c r="G82" s="16">
        <f t="shared" ref="G82" si="83">J82/3.412</f>
        <v>4.1617819460726846</v>
      </c>
      <c r="H82" s="16">
        <f t="shared" ref="H82" si="84">I82/3.412</f>
        <v>5.9202813599062134</v>
      </c>
      <c r="I82" s="16">
        <v>20.2</v>
      </c>
      <c r="J82" s="16">
        <v>14.2</v>
      </c>
      <c r="K82" s="12">
        <v>0.03</v>
      </c>
      <c r="L82" s="15">
        <v>21600</v>
      </c>
      <c r="M82" s="15">
        <v>21600</v>
      </c>
      <c r="N82" s="12" t="s">
        <v>152</v>
      </c>
      <c r="O82" s="355" t="s">
        <v>154</v>
      </c>
      <c r="P82" s="16">
        <v>-18</v>
      </c>
      <c r="Q82" s="12">
        <v>0.12</v>
      </c>
      <c r="R82" s="252"/>
      <c r="S82" s="252"/>
      <c r="T82" s="252"/>
    </row>
    <row r="83" spans="1:20">
      <c r="R83" s="252"/>
      <c r="S83" s="252"/>
      <c r="T83" s="252"/>
    </row>
    <row r="84" spans="1:20">
      <c r="R84" s="252"/>
      <c r="S84" s="252"/>
      <c r="T84" s="252"/>
    </row>
    <row r="85" spans="1:20">
      <c r="R85" s="252"/>
      <c r="S85" s="252"/>
      <c r="T85" s="252"/>
    </row>
    <row r="86" spans="1:20">
      <c r="E86" s="12">
        <v>15</v>
      </c>
      <c r="G86" s="12">
        <v>25</v>
      </c>
      <c r="I86" s="12">
        <v>15</v>
      </c>
      <c r="J86" s="12">
        <v>25</v>
      </c>
      <c r="M86" s="12">
        <v>17</v>
      </c>
      <c r="R86" s="252"/>
      <c r="S86" s="252"/>
      <c r="T86" s="252"/>
    </row>
    <row r="87" spans="1:20">
      <c r="E87" s="12" t="s">
        <v>427</v>
      </c>
      <c r="F87" s="12" t="s">
        <v>428</v>
      </c>
      <c r="G87" s="12" t="s">
        <v>427</v>
      </c>
      <c r="H87" s="12" t="s">
        <v>428</v>
      </c>
      <c r="I87" s="12" t="s">
        <v>7</v>
      </c>
      <c r="J87" s="12" t="s">
        <v>7</v>
      </c>
      <c r="K87" s="12" t="s">
        <v>422</v>
      </c>
      <c r="L87" s="12" t="s">
        <v>429</v>
      </c>
      <c r="M87" s="12" t="s">
        <v>7</v>
      </c>
      <c r="R87" s="252"/>
      <c r="S87" s="252"/>
      <c r="T87" s="252"/>
    </row>
    <row r="88" spans="1:20">
      <c r="E88" s="12">
        <v>6800</v>
      </c>
      <c r="F88" s="12">
        <v>0.67</v>
      </c>
      <c r="G88" s="12">
        <v>8300</v>
      </c>
      <c r="H88" s="12">
        <v>0.77</v>
      </c>
      <c r="I88" s="12">
        <f>E88/3413/F88</f>
        <v>2.9737045799423623</v>
      </c>
      <c r="J88" s="12">
        <f>G88/3413/H88</f>
        <v>3.1582832637623146</v>
      </c>
      <c r="K88" s="12">
        <f>SLOPE(I88:J88,$I$86:$J$86)</f>
        <v>1.8457868381995236E-2</v>
      </c>
      <c r="L88" s="12">
        <f>INTERCEPT(I88:J88,$I$86:$J$86)</f>
        <v>2.6968365542124335</v>
      </c>
      <c r="M88" s="12">
        <f>K88*$M$86+L88</f>
        <v>3.0106203167063526</v>
      </c>
      <c r="R88" s="252"/>
      <c r="S88" s="252"/>
      <c r="T88" s="252"/>
    </row>
    <row r="89" spans="1:20">
      <c r="E89" s="12">
        <v>8000</v>
      </c>
      <c r="F89" s="12">
        <v>0.78</v>
      </c>
      <c r="G89" s="12">
        <v>9800</v>
      </c>
      <c r="H89" s="12">
        <v>0.9</v>
      </c>
      <c r="I89" s="12">
        <f t="shared" ref="I89:I91" si="85">E89/3413/F89</f>
        <v>3.0051011592177721</v>
      </c>
      <c r="J89" s="12">
        <f t="shared" ref="J89:J91" si="86">G89/3413/H89</f>
        <v>3.1904157307028682</v>
      </c>
      <c r="K89" s="12">
        <f t="shared" ref="K89:K91" si="87">SLOPE(I89:J89,$I$86:$J$86)</f>
        <v>1.8531457148509612E-2</v>
      </c>
      <c r="L89" s="12">
        <f t="shared" ref="L89:L91" si="88">INTERCEPT(I89:J89,$I$86:$J$86)</f>
        <v>2.7271293019901277</v>
      </c>
      <c r="M89" s="12">
        <f t="shared" ref="M89:M91" si="89">K89*$M$86+L89</f>
        <v>3.0421640735147912</v>
      </c>
      <c r="R89" s="252"/>
      <c r="S89" s="252"/>
      <c r="T89" s="252"/>
    </row>
    <row r="90" spans="1:20">
      <c r="E90" s="12">
        <v>11100</v>
      </c>
      <c r="F90" s="12">
        <v>1.1399999999999999</v>
      </c>
      <c r="G90" s="12">
        <v>13500</v>
      </c>
      <c r="H90" s="12">
        <v>1.33</v>
      </c>
      <c r="I90" s="12">
        <f t="shared" si="85"/>
        <v>2.8528690610205563</v>
      </c>
      <c r="J90" s="12">
        <f t="shared" si="86"/>
        <v>2.9740333840754829</v>
      </c>
      <c r="K90" s="12">
        <f>SLOPE(I90:J90,$I$86:$J$86)</f>
        <v>1.2116432305492664E-2</v>
      </c>
      <c r="L90" s="12">
        <f t="shared" si="88"/>
        <v>2.6711225764381661</v>
      </c>
      <c r="M90" s="12">
        <f t="shared" si="89"/>
        <v>2.8771019256315413</v>
      </c>
      <c r="R90" s="252"/>
      <c r="S90" s="252"/>
      <c r="T90" s="252"/>
    </row>
    <row r="91" spans="1:20">
      <c r="E91" s="12">
        <v>12900</v>
      </c>
      <c r="F91" s="12">
        <v>1.37</v>
      </c>
      <c r="G91" s="12">
        <v>15800</v>
      </c>
      <c r="H91" s="12">
        <v>1.6</v>
      </c>
      <c r="I91" s="12">
        <f t="shared" si="85"/>
        <v>2.7588802795665348</v>
      </c>
      <c r="J91" s="12">
        <f t="shared" si="86"/>
        <v>2.8933489598593614</v>
      </c>
      <c r="K91" s="12">
        <f t="shared" si="87"/>
        <v>1.3446868029282655E-2</v>
      </c>
      <c r="L91" s="12">
        <f t="shared" si="88"/>
        <v>2.557177259127295</v>
      </c>
      <c r="M91" s="12">
        <f t="shared" si="89"/>
        <v>2.7857740156251003</v>
      </c>
      <c r="R91" s="252"/>
      <c r="S91" s="252"/>
      <c r="T91" s="252"/>
    </row>
    <row r="92" spans="1:20">
      <c r="R92" s="252"/>
      <c r="S92" s="252"/>
      <c r="T92" s="252"/>
    </row>
    <row r="93" spans="1:20">
      <c r="R93" s="252"/>
      <c r="S93" s="252"/>
      <c r="T93" s="252"/>
    </row>
    <row r="94" spans="1:20">
      <c r="R94" s="252"/>
      <c r="S94" s="252"/>
      <c r="T94" s="252"/>
    </row>
    <row r="95" spans="1:20">
      <c r="R95" s="252"/>
      <c r="S95" s="252"/>
      <c r="T95" s="252"/>
    </row>
    <row r="96" spans="1:20">
      <c r="R96" s="252"/>
      <c r="S96" s="252"/>
      <c r="T96" s="252"/>
    </row>
    <row r="97" spans="18:20">
      <c r="R97" s="252"/>
      <c r="S97" s="252"/>
      <c r="T97" s="252"/>
    </row>
    <row r="98" spans="18:20">
      <c r="R98" s="252"/>
      <c r="S98" s="252"/>
      <c r="T98" s="252"/>
    </row>
    <row r="99" spans="18:20">
      <c r="R99" s="252"/>
      <c r="S99" s="252"/>
    </row>
  </sheetData>
  <mergeCells count="6">
    <mergeCell ref="Z6:AA6"/>
    <mergeCell ref="Z1:AA1"/>
    <mergeCell ref="B1:C1"/>
    <mergeCell ref="D1:H1"/>
    <mergeCell ref="I1:J1"/>
    <mergeCell ref="L1:M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7"/>
  <sheetViews>
    <sheetView topLeftCell="A5" zoomScaleNormal="100" workbookViewId="0">
      <selection activeCell="A5" sqref="A5"/>
    </sheetView>
  </sheetViews>
  <sheetFormatPr defaultColWidth="9.1796875" defaultRowHeight="14.5"/>
  <cols>
    <col min="1" max="1" width="20.26953125" style="196" customWidth="1"/>
    <col min="2" max="2" width="31.81640625" style="196" customWidth="1"/>
    <col min="3" max="16" width="9.1796875" style="196" customWidth="1"/>
    <col min="17" max="31" width="9.1796875" style="196" hidden="1" customWidth="1"/>
    <col min="32" max="32" width="14.81640625" style="196" hidden="1" customWidth="1"/>
    <col min="33" max="40" width="9.1796875" style="196" hidden="1" customWidth="1"/>
    <col min="41" max="41" width="9.26953125" style="196" hidden="1" customWidth="1"/>
    <col min="42" max="43" width="11.453125" style="196" hidden="1" customWidth="1"/>
    <col min="44" max="45" width="9.1796875" style="196" hidden="1" customWidth="1"/>
    <col min="46" max="16384" width="9.1796875" style="196"/>
  </cols>
  <sheetData>
    <row r="1" spans="1:45" ht="15" thickBot="1">
      <c r="A1" s="198"/>
      <c r="B1" s="197"/>
      <c r="C1" s="481" t="s">
        <v>44</v>
      </c>
      <c r="D1" s="481"/>
      <c r="E1" s="481" t="s">
        <v>7</v>
      </c>
      <c r="F1" s="481"/>
      <c r="G1" s="481"/>
      <c r="H1" s="481"/>
      <c r="I1" s="481"/>
      <c r="J1" s="481" t="s">
        <v>45</v>
      </c>
      <c r="K1" s="481"/>
      <c r="L1" s="197"/>
      <c r="M1" s="481"/>
      <c r="N1" s="481"/>
      <c r="O1" s="198"/>
      <c r="P1" s="198"/>
      <c r="Q1" s="479" t="s">
        <v>44</v>
      </c>
      <c r="R1" s="480"/>
      <c r="S1" s="481" t="s">
        <v>7</v>
      </c>
      <c r="T1" s="481"/>
      <c r="U1" s="481"/>
      <c r="V1" s="481"/>
      <c r="W1" s="481"/>
      <c r="X1" s="481" t="s">
        <v>45</v>
      </c>
      <c r="Y1" s="481"/>
      <c r="Z1" s="197"/>
      <c r="AA1" s="481"/>
      <c r="AB1" s="481"/>
      <c r="AC1" s="198"/>
      <c r="AD1" s="198"/>
      <c r="AE1" s="198"/>
      <c r="AF1" s="479" t="s">
        <v>44</v>
      </c>
      <c r="AG1" s="480"/>
      <c r="AH1" s="481" t="s">
        <v>7</v>
      </c>
      <c r="AI1" s="481"/>
      <c r="AJ1" s="481"/>
      <c r="AK1" s="481"/>
      <c r="AL1" s="481"/>
      <c r="AM1" s="481" t="s">
        <v>45</v>
      </c>
      <c r="AN1" s="481"/>
      <c r="AO1" s="197"/>
      <c r="AP1" s="481"/>
      <c r="AQ1" s="481"/>
      <c r="AR1" s="198"/>
      <c r="AS1" s="198"/>
    </row>
    <row r="2" spans="1:45" ht="15" thickTop="1">
      <c r="A2" s="244" t="s">
        <v>282</v>
      </c>
      <c r="B2" s="245" t="s">
        <v>43</v>
      </c>
      <c r="C2" s="199" t="s">
        <v>22</v>
      </c>
      <c r="D2" s="199" t="s">
        <v>20</v>
      </c>
      <c r="E2" s="200">
        <v>47</v>
      </c>
      <c r="F2" s="200">
        <v>17</v>
      </c>
      <c r="G2" s="200">
        <v>5</v>
      </c>
      <c r="H2" s="200">
        <v>95</v>
      </c>
      <c r="I2" s="200" t="s">
        <v>23</v>
      </c>
      <c r="J2" s="197" t="s">
        <v>23</v>
      </c>
      <c r="K2" s="197" t="s">
        <v>24</v>
      </c>
      <c r="L2" s="197" t="s">
        <v>59</v>
      </c>
      <c r="M2" s="197">
        <v>17</v>
      </c>
      <c r="N2" s="197">
        <v>5</v>
      </c>
      <c r="O2" s="197" t="s">
        <v>153</v>
      </c>
      <c r="P2" s="197" t="s">
        <v>205</v>
      </c>
      <c r="Q2" s="201" t="s">
        <v>22</v>
      </c>
      <c r="R2" s="202" t="s">
        <v>20</v>
      </c>
      <c r="S2" s="200">
        <v>47</v>
      </c>
      <c r="T2" s="200">
        <v>17</v>
      </c>
      <c r="U2" s="200">
        <v>5</v>
      </c>
      <c r="V2" s="200">
        <v>95</v>
      </c>
      <c r="W2" s="200" t="s">
        <v>23</v>
      </c>
      <c r="X2" s="197" t="s">
        <v>23</v>
      </c>
      <c r="Y2" s="197" t="s">
        <v>24</v>
      </c>
      <c r="Z2" s="197" t="s">
        <v>59</v>
      </c>
      <c r="AA2" s="197">
        <v>17</v>
      </c>
      <c r="AB2" s="197">
        <v>5</v>
      </c>
      <c r="AC2" s="197" t="s">
        <v>153</v>
      </c>
      <c r="AD2" s="197" t="s">
        <v>205</v>
      </c>
      <c r="AE2" s="198"/>
      <c r="AF2" s="201" t="s">
        <v>22</v>
      </c>
      <c r="AG2" s="202" t="s">
        <v>20</v>
      </c>
      <c r="AH2" s="200">
        <v>47</v>
      </c>
      <c r="AI2" s="200">
        <v>17</v>
      </c>
      <c r="AJ2" s="200">
        <v>5</v>
      </c>
      <c r="AK2" s="200">
        <v>95</v>
      </c>
      <c r="AL2" s="200" t="s">
        <v>23</v>
      </c>
      <c r="AM2" s="197" t="s">
        <v>23</v>
      </c>
      <c r="AN2" s="197" t="s">
        <v>24</v>
      </c>
      <c r="AO2" s="197" t="s">
        <v>59</v>
      </c>
      <c r="AP2" s="197">
        <v>17</v>
      </c>
      <c r="AQ2" s="197">
        <v>5</v>
      </c>
      <c r="AR2" s="197" t="s">
        <v>153</v>
      </c>
      <c r="AS2" s="197" t="s">
        <v>205</v>
      </c>
    </row>
    <row r="3" spans="1:45">
      <c r="A3" s="240"/>
      <c r="B3" s="242" t="str">
        <f>data!A12</f>
        <v>SUZ-KD09NA1</v>
      </c>
      <c r="C3" s="203">
        <f>data!B12</f>
        <v>8100</v>
      </c>
      <c r="D3" s="203">
        <f>data!C12</f>
        <v>10900</v>
      </c>
      <c r="E3" s="204">
        <f>data!D12</f>
        <v>3.13</v>
      </c>
      <c r="F3" s="204">
        <f>data!E12</f>
        <v>2.4242687392355231</v>
      </c>
      <c r="G3" s="204">
        <f>data!F12</f>
        <v>2.16</v>
      </c>
      <c r="H3" s="204">
        <f>data!G12</f>
        <v>3.5169988276670576</v>
      </c>
      <c r="I3" s="204">
        <f>data!H12</f>
        <v>4.3962485345838216</v>
      </c>
      <c r="J3" s="204">
        <f>data!I12</f>
        <v>15</v>
      </c>
      <c r="K3" s="204">
        <f>data!J12</f>
        <v>12</v>
      </c>
      <c r="L3" s="197">
        <f>data!K12</f>
        <v>0.05</v>
      </c>
      <c r="M3" s="203">
        <f>data!L12</f>
        <v>6700</v>
      </c>
      <c r="N3" s="203">
        <f>data!M12</f>
        <v>4800</v>
      </c>
      <c r="O3" s="205">
        <f>data!P12</f>
        <v>0</v>
      </c>
      <c r="P3" s="205">
        <f>data!Q12</f>
        <v>0</v>
      </c>
      <c r="Q3" s="206">
        <f t="shared" ref="Q3" si="0">A3*C3</f>
        <v>0</v>
      </c>
      <c r="R3" s="207">
        <f t="shared" ref="R3" si="1">A3*D3</f>
        <v>0</v>
      </c>
      <c r="S3" s="198">
        <f>IF($A3=0,0,$A3*E3/$A3)</f>
        <v>0</v>
      </c>
      <c r="T3" s="198">
        <f t="shared" ref="T3:Z3" si="2">IF($A3=0,0,$A3*F3/$A3)</f>
        <v>0</v>
      </c>
      <c r="U3" s="198">
        <f t="shared" si="2"/>
        <v>0</v>
      </c>
      <c r="V3" s="198">
        <f t="shared" si="2"/>
        <v>0</v>
      </c>
      <c r="W3" s="198">
        <f t="shared" si="2"/>
        <v>0</v>
      </c>
      <c r="X3" s="198">
        <f t="shared" si="2"/>
        <v>0</v>
      </c>
      <c r="Y3" s="198">
        <f t="shared" si="2"/>
        <v>0</v>
      </c>
      <c r="Z3" s="198">
        <f t="shared" si="2"/>
        <v>0</v>
      </c>
      <c r="AA3" s="198">
        <f>IF($A3=0,0,$A3*M3)</f>
        <v>0</v>
      </c>
      <c r="AB3" s="198">
        <f>IF($A3=0,0,$A3*N3)</f>
        <v>0</v>
      </c>
      <c r="AC3" s="198">
        <f>IF($A3=0,0,O3)</f>
        <v>0</v>
      </c>
      <c r="AD3" s="198">
        <f>IF($A3=0,0,$A3*P3)</f>
        <v>0</v>
      </c>
      <c r="AE3" s="198">
        <f t="shared" ref="AE3:AE15" si="3">IF(Q3=0,0,Q3/$Q$46)</f>
        <v>0</v>
      </c>
      <c r="AF3" s="218">
        <f>Q3</f>
        <v>0</v>
      </c>
      <c r="AG3" s="219">
        <f>R3</f>
        <v>0</v>
      </c>
      <c r="AH3" s="221">
        <f t="shared" ref="AH3:AS24" si="4">S3*$AE3</f>
        <v>0</v>
      </c>
      <c r="AI3" s="221">
        <f t="shared" si="4"/>
        <v>0</v>
      </c>
      <c r="AJ3" s="221">
        <f t="shared" si="4"/>
        <v>0</v>
      </c>
      <c r="AK3" s="221">
        <f t="shared" si="4"/>
        <v>0</v>
      </c>
      <c r="AL3" s="221">
        <f t="shared" si="4"/>
        <v>0</v>
      </c>
      <c r="AM3" s="221">
        <f t="shared" si="4"/>
        <v>0</v>
      </c>
      <c r="AN3" s="221">
        <f t="shared" si="4"/>
        <v>0</v>
      </c>
      <c r="AO3" s="221">
        <f t="shared" si="4"/>
        <v>0</v>
      </c>
      <c r="AP3" s="220">
        <f>AA3</f>
        <v>0</v>
      </c>
      <c r="AQ3" s="220">
        <f>AB3</f>
        <v>0</v>
      </c>
      <c r="AR3" s="198">
        <f t="shared" si="4"/>
        <v>0</v>
      </c>
      <c r="AS3" s="198">
        <f t="shared" si="4"/>
        <v>0</v>
      </c>
    </row>
    <row r="4" spans="1:45">
      <c r="A4" s="240"/>
      <c r="B4" s="242" t="str">
        <f>data!A13</f>
        <v>SUZ-KD12NA4</v>
      </c>
      <c r="C4" s="203">
        <f>data!B13</f>
        <v>11500</v>
      </c>
      <c r="D4" s="203">
        <f>data!C13</f>
        <v>13600</v>
      </c>
      <c r="E4" s="204">
        <f>data!D13</f>
        <v>3.5</v>
      </c>
      <c r="F4" s="204">
        <f>data!E13</f>
        <v>2.8671186095111882</v>
      </c>
      <c r="G4" s="204">
        <f>data!F13</f>
        <v>2.4700000000000002</v>
      </c>
      <c r="H4" s="204">
        <f>data!G13</f>
        <v>3.6635404454865181</v>
      </c>
      <c r="I4" s="204">
        <f>data!H13</f>
        <v>4.6893317702227435</v>
      </c>
      <c r="J4" s="204">
        <f>data!I13</f>
        <v>16</v>
      </c>
      <c r="K4" s="204">
        <f>data!J13</f>
        <v>12.5</v>
      </c>
      <c r="L4" s="197">
        <f>data!K13</f>
        <v>0.05</v>
      </c>
      <c r="M4" s="203">
        <f>data!L13</f>
        <v>9000</v>
      </c>
      <c r="N4" s="203">
        <f>data!M13</f>
        <v>6000</v>
      </c>
      <c r="O4" s="205">
        <f>data!P13</f>
        <v>0</v>
      </c>
      <c r="P4" s="205">
        <f>data!Q13</f>
        <v>0</v>
      </c>
      <c r="Q4" s="206">
        <f t="shared" ref="Q4:Q30" si="5">A4*C4</f>
        <v>0</v>
      </c>
      <c r="R4" s="207">
        <f t="shared" ref="R4:R30" si="6">A4*D4</f>
        <v>0</v>
      </c>
      <c r="S4" s="198">
        <f t="shared" ref="S4:S30" si="7">IF($A4=0,0,$A4*E4/$A4)</f>
        <v>0</v>
      </c>
      <c r="T4" s="198">
        <f t="shared" ref="T4:T30" si="8">IF($A4=0,0,$A4*F4/$A4)</f>
        <v>0</v>
      </c>
      <c r="U4" s="198">
        <f t="shared" ref="U4:U30" si="9">IF($A4=0,0,$A4*G4/$A4)</f>
        <v>0</v>
      </c>
      <c r="V4" s="198">
        <f t="shared" ref="V4:V30" si="10">IF($A4=0,0,$A4*H4/$A4)</f>
        <v>0</v>
      </c>
      <c r="W4" s="198">
        <f t="shared" ref="W4:W30" si="11">IF($A4=0,0,$A4*I4/$A4)</f>
        <v>0</v>
      </c>
      <c r="X4" s="198">
        <f t="shared" ref="X4:X30" si="12">IF($A4=0,0,$A4*J4/$A4)</f>
        <v>0</v>
      </c>
      <c r="Y4" s="198">
        <f t="shared" ref="Y4:Y30" si="13">IF($A4=0,0,$A4*K4/$A4)</f>
        <v>0</v>
      </c>
      <c r="Z4" s="198">
        <f t="shared" ref="Z4:Z30" si="14">IF($A4=0,0,$A4*L4/$A4)</f>
        <v>0</v>
      </c>
      <c r="AA4" s="198">
        <f t="shared" ref="AA4:AA30" si="15">IF($A4=0,0,$A4*M4)</f>
        <v>0</v>
      </c>
      <c r="AB4" s="198">
        <f t="shared" ref="AB4:AB30" si="16">IF($A4=0,0,$A4*N4)</f>
        <v>0</v>
      </c>
      <c r="AC4" s="198">
        <f t="shared" ref="AC4:AC30" si="17">IF($A4=0,0,O4)</f>
        <v>0</v>
      </c>
      <c r="AD4" s="198">
        <f t="shared" ref="AD4:AD30" si="18">IF($A4=0,0,$A4*P4)</f>
        <v>0</v>
      </c>
      <c r="AE4" s="198">
        <f t="shared" si="3"/>
        <v>0</v>
      </c>
      <c r="AF4" s="218">
        <f t="shared" ref="AF4:AG30" si="19">Q4</f>
        <v>0</v>
      </c>
      <c r="AG4" s="219">
        <f t="shared" si="19"/>
        <v>0</v>
      </c>
      <c r="AH4" s="221">
        <f t="shared" si="4"/>
        <v>0</v>
      </c>
      <c r="AI4" s="221">
        <f t="shared" si="4"/>
        <v>0</v>
      </c>
      <c r="AJ4" s="221">
        <f t="shared" si="4"/>
        <v>0</v>
      </c>
      <c r="AK4" s="221">
        <f t="shared" si="4"/>
        <v>0</v>
      </c>
      <c r="AL4" s="221">
        <f t="shared" si="4"/>
        <v>0</v>
      </c>
      <c r="AM4" s="221">
        <f t="shared" si="4"/>
        <v>0</v>
      </c>
      <c r="AN4" s="221">
        <f t="shared" si="4"/>
        <v>0</v>
      </c>
      <c r="AO4" s="221">
        <f t="shared" si="4"/>
        <v>0</v>
      </c>
      <c r="AP4" s="220">
        <f t="shared" ref="AP4:AQ30" si="20">AA4</f>
        <v>0</v>
      </c>
      <c r="AQ4" s="220">
        <f t="shared" si="20"/>
        <v>0</v>
      </c>
      <c r="AR4" s="198">
        <f t="shared" si="4"/>
        <v>0</v>
      </c>
      <c r="AS4" s="198">
        <f t="shared" si="4"/>
        <v>0</v>
      </c>
    </row>
    <row r="5" spans="1:45">
      <c r="A5" s="240"/>
      <c r="B5" s="242" t="str">
        <f>data!A14</f>
        <v>SUZ-KD15NA4</v>
      </c>
      <c r="C5" s="203">
        <f>data!B14</f>
        <v>14100</v>
      </c>
      <c r="D5" s="203">
        <f>data!C14</f>
        <v>18000</v>
      </c>
      <c r="E5" s="204">
        <f>data!D14</f>
        <v>3.5169988276670576</v>
      </c>
      <c r="F5" s="204">
        <f>data!E14</f>
        <v>2.9064087534193046</v>
      </c>
      <c r="G5" s="204">
        <f>data!F14</f>
        <v>2.4700000000000002</v>
      </c>
      <c r="H5" s="204">
        <f>data!G14</f>
        <v>3.5169988276670576</v>
      </c>
      <c r="I5" s="204">
        <f>data!H14</f>
        <v>4.542790152403283</v>
      </c>
      <c r="J5" s="204">
        <f>data!I14</f>
        <v>15.5</v>
      </c>
      <c r="K5" s="204">
        <f>data!J14</f>
        <v>12</v>
      </c>
      <c r="L5" s="197">
        <f>data!K14</f>
        <v>0.05</v>
      </c>
      <c r="M5" s="203">
        <f>data!L14</f>
        <v>11900</v>
      </c>
      <c r="N5" s="203">
        <f>data!M14</f>
        <v>7900</v>
      </c>
      <c r="O5" s="205">
        <f>data!P14</f>
        <v>0</v>
      </c>
      <c r="P5" s="205">
        <f>data!Q14</f>
        <v>0</v>
      </c>
      <c r="Q5" s="206">
        <f t="shared" si="5"/>
        <v>0</v>
      </c>
      <c r="R5" s="207">
        <f t="shared" si="6"/>
        <v>0</v>
      </c>
      <c r="S5" s="198">
        <f t="shared" si="7"/>
        <v>0</v>
      </c>
      <c r="T5" s="198">
        <f t="shared" si="8"/>
        <v>0</v>
      </c>
      <c r="U5" s="198">
        <f t="shared" si="9"/>
        <v>0</v>
      </c>
      <c r="V5" s="198">
        <f t="shared" si="10"/>
        <v>0</v>
      </c>
      <c r="W5" s="198">
        <f t="shared" si="11"/>
        <v>0</v>
      </c>
      <c r="X5" s="198">
        <f t="shared" si="12"/>
        <v>0</v>
      </c>
      <c r="Y5" s="198">
        <f t="shared" si="13"/>
        <v>0</v>
      </c>
      <c r="Z5" s="198">
        <f t="shared" si="14"/>
        <v>0</v>
      </c>
      <c r="AA5" s="198">
        <f t="shared" si="15"/>
        <v>0</v>
      </c>
      <c r="AB5" s="198">
        <f t="shared" si="16"/>
        <v>0</v>
      </c>
      <c r="AC5" s="198">
        <f t="shared" si="17"/>
        <v>0</v>
      </c>
      <c r="AD5" s="198">
        <f t="shared" si="18"/>
        <v>0</v>
      </c>
      <c r="AE5" s="198">
        <f t="shared" si="3"/>
        <v>0</v>
      </c>
      <c r="AF5" s="218">
        <f t="shared" si="19"/>
        <v>0</v>
      </c>
      <c r="AG5" s="219">
        <f t="shared" si="19"/>
        <v>0</v>
      </c>
      <c r="AH5" s="221">
        <f t="shared" si="4"/>
        <v>0</v>
      </c>
      <c r="AI5" s="221">
        <f t="shared" si="4"/>
        <v>0</v>
      </c>
      <c r="AJ5" s="221">
        <f t="shared" si="4"/>
        <v>0</v>
      </c>
      <c r="AK5" s="221">
        <f t="shared" si="4"/>
        <v>0</v>
      </c>
      <c r="AL5" s="221">
        <f t="shared" si="4"/>
        <v>0</v>
      </c>
      <c r="AM5" s="221">
        <f t="shared" si="4"/>
        <v>0</v>
      </c>
      <c r="AN5" s="221">
        <f t="shared" si="4"/>
        <v>0</v>
      </c>
      <c r="AO5" s="221">
        <f t="shared" si="4"/>
        <v>0</v>
      </c>
      <c r="AP5" s="220">
        <f t="shared" si="20"/>
        <v>0</v>
      </c>
      <c r="AQ5" s="220">
        <f t="shared" si="20"/>
        <v>0</v>
      </c>
      <c r="AR5" s="198">
        <f t="shared" si="4"/>
        <v>0</v>
      </c>
      <c r="AS5" s="198">
        <f t="shared" si="4"/>
        <v>0</v>
      </c>
    </row>
    <row r="6" spans="1:45">
      <c r="A6" s="240"/>
      <c r="B6" s="242" t="str">
        <f>data!A15</f>
        <v>SUZ-KD18NA4</v>
      </c>
      <c r="C6" s="203">
        <f>data!B15</f>
        <v>17200</v>
      </c>
      <c r="D6" s="203">
        <f>data!C15</f>
        <v>21600</v>
      </c>
      <c r="E6" s="204">
        <f>data!D15</f>
        <v>3.7238811116474726</v>
      </c>
      <c r="F6" s="204">
        <f>data!E15</f>
        <v>2.8439928791628675</v>
      </c>
      <c r="G6" s="204">
        <f>data!F15</f>
        <v>2.4300000000000002</v>
      </c>
      <c r="H6" s="204">
        <f>data!G15</f>
        <v>3.6635404454865181</v>
      </c>
      <c r="I6" s="204">
        <f>data!H15</f>
        <v>5.1289566236811259</v>
      </c>
      <c r="J6" s="204">
        <f>data!I15</f>
        <v>17.5</v>
      </c>
      <c r="K6" s="204">
        <f>data!J15</f>
        <v>12.5</v>
      </c>
      <c r="L6" s="197">
        <f>data!K15</f>
        <v>0.05</v>
      </c>
      <c r="M6" s="203">
        <f>data!L15</f>
        <v>13100</v>
      </c>
      <c r="N6" s="203">
        <f>data!M15</f>
        <v>9500</v>
      </c>
      <c r="O6" s="205">
        <f>data!P15</f>
        <v>0</v>
      </c>
      <c r="P6" s="205">
        <f>data!Q15</f>
        <v>0</v>
      </c>
      <c r="Q6" s="206">
        <f t="shared" si="5"/>
        <v>0</v>
      </c>
      <c r="R6" s="207">
        <f t="shared" si="6"/>
        <v>0</v>
      </c>
      <c r="S6" s="198">
        <f t="shared" si="7"/>
        <v>0</v>
      </c>
      <c r="T6" s="198">
        <f t="shared" si="8"/>
        <v>0</v>
      </c>
      <c r="U6" s="198">
        <f t="shared" si="9"/>
        <v>0</v>
      </c>
      <c r="V6" s="198">
        <f t="shared" si="10"/>
        <v>0</v>
      </c>
      <c r="W6" s="198">
        <f t="shared" si="11"/>
        <v>0</v>
      </c>
      <c r="X6" s="198">
        <f t="shared" si="12"/>
        <v>0</v>
      </c>
      <c r="Y6" s="198">
        <f t="shared" si="13"/>
        <v>0</v>
      </c>
      <c r="Z6" s="198">
        <f t="shared" si="14"/>
        <v>0</v>
      </c>
      <c r="AA6" s="198">
        <f t="shared" si="15"/>
        <v>0</v>
      </c>
      <c r="AB6" s="198">
        <f t="shared" si="16"/>
        <v>0</v>
      </c>
      <c r="AC6" s="198">
        <f t="shared" si="17"/>
        <v>0</v>
      </c>
      <c r="AD6" s="198">
        <f t="shared" si="18"/>
        <v>0</v>
      </c>
      <c r="AE6" s="198">
        <f t="shared" si="3"/>
        <v>0</v>
      </c>
      <c r="AF6" s="218">
        <f t="shared" si="19"/>
        <v>0</v>
      </c>
      <c r="AG6" s="219">
        <f t="shared" si="19"/>
        <v>0</v>
      </c>
      <c r="AH6" s="221">
        <f t="shared" si="4"/>
        <v>0</v>
      </c>
      <c r="AI6" s="221">
        <f t="shared" si="4"/>
        <v>0</v>
      </c>
      <c r="AJ6" s="221">
        <f t="shared" si="4"/>
        <v>0</v>
      </c>
      <c r="AK6" s="221">
        <f t="shared" si="4"/>
        <v>0</v>
      </c>
      <c r="AL6" s="221">
        <f t="shared" si="4"/>
        <v>0</v>
      </c>
      <c r="AM6" s="221">
        <f t="shared" si="4"/>
        <v>0</v>
      </c>
      <c r="AN6" s="221">
        <f t="shared" si="4"/>
        <v>0</v>
      </c>
      <c r="AO6" s="221">
        <f t="shared" si="4"/>
        <v>0</v>
      </c>
      <c r="AP6" s="220">
        <f t="shared" si="20"/>
        <v>0</v>
      </c>
      <c r="AQ6" s="220">
        <f t="shared" si="20"/>
        <v>0</v>
      </c>
      <c r="AR6" s="198">
        <f t="shared" si="4"/>
        <v>0</v>
      </c>
      <c r="AS6" s="198">
        <f t="shared" si="4"/>
        <v>0</v>
      </c>
    </row>
    <row r="7" spans="1:45">
      <c r="A7" s="240"/>
      <c r="B7" s="242" t="str">
        <f>data!A16</f>
        <v>SUZ-KA09NA</v>
      </c>
      <c r="C7" s="203">
        <f>data!B16</f>
        <v>8400</v>
      </c>
      <c r="D7" s="203">
        <f>data!C16</f>
        <v>10900</v>
      </c>
      <c r="E7" s="204">
        <f>data!D16</f>
        <v>3.13</v>
      </c>
      <c r="F7" s="204">
        <f>data!E16</f>
        <v>2.4555622445423149</v>
      </c>
      <c r="G7" s="204">
        <f>data!F16</f>
        <v>2.37</v>
      </c>
      <c r="H7" s="204">
        <f>data!G16</f>
        <v>3.5169988276670576</v>
      </c>
      <c r="I7" s="204">
        <f>data!H16</f>
        <v>4.3962485345838216</v>
      </c>
      <c r="J7" s="204">
        <f>data!I16</f>
        <v>15</v>
      </c>
      <c r="K7" s="204">
        <f>data!J16</f>
        <v>12</v>
      </c>
      <c r="L7" s="197">
        <f>data!K16</f>
        <v>0.03</v>
      </c>
      <c r="M7" s="203">
        <f>data!L16</f>
        <v>6200</v>
      </c>
      <c r="N7" s="203">
        <f>data!M16</f>
        <v>4800</v>
      </c>
      <c r="O7" s="205">
        <f>data!P16</f>
        <v>0</v>
      </c>
      <c r="P7" s="205">
        <f>data!Q16</f>
        <v>0</v>
      </c>
      <c r="Q7" s="206">
        <f t="shared" si="5"/>
        <v>0</v>
      </c>
      <c r="R7" s="207">
        <f t="shared" si="6"/>
        <v>0</v>
      </c>
      <c r="S7" s="198">
        <f t="shared" si="7"/>
        <v>0</v>
      </c>
      <c r="T7" s="198">
        <f t="shared" si="8"/>
        <v>0</v>
      </c>
      <c r="U7" s="198">
        <f t="shared" si="9"/>
        <v>0</v>
      </c>
      <c r="V7" s="198">
        <f t="shared" si="10"/>
        <v>0</v>
      </c>
      <c r="W7" s="198">
        <f t="shared" si="11"/>
        <v>0</v>
      </c>
      <c r="X7" s="198">
        <f t="shared" si="12"/>
        <v>0</v>
      </c>
      <c r="Y7" s="198">
        <f t="shared" si="13"/>
        <v>0</v>
      </c>
      <c r="Z7" s="198">
        <f t="shared" si="14"/>
        <v>0</v>
      </c>
      <c r="AA7" s="198">
        <f t="shared" si="15"/>
        <v>0</v>
      </c>
      <c r="AB7" s="198">
        <f t="shared" si="16"/>
        <v>0</v>
      </c>
      <c r="AC7" s="198">
        <f t="shared" si="17"/>
        <v>0</v>
      </c>
      <c r="AD7" s="198">
        <f t="shared" si="18"/>
        <v>0</v>
      </c>
      <c r="AE7" s="198">
        <f t="shared" si="3"/>
        <v>0</v>
      </c>
      <c r="AF7" s="218">
        <f t="shared" si="19"/>
        <v>0</v>
      </c>
      <c r="AG7" s="219">
        <f t="shared" si="19"/>
        <v>0</v>
      </c>
      <c r="AH7" s="221">
        <f t="shared" si="4"/>
        <v>0</v>
      </c>
      <c r="AI7" s="221">
        <f t="shared" si="4"/>
        <v>0</v>
      </c>
      <c r="AJ7" s="221">
        <f t="shared" si="4"/>
        <v>0</v>
      </c>
      <c r="AK7" s="221">
        <f t="shared" si="4"/>
        <v>0</v>
      </c>
      <c r="AL7" s="221">
        <f t="shared" si="4"/>
        <v>0</v>
      </c>
      <c r="AM7" s="221">
        <f t="shared" si="4"/>
        <v>0</v>
      </c>
      <c r="AN7" s="221">
        <f t="shared" si="4"/>
        <v>0</v>
      </c>
      <c r="AO7" s="221">
        <f t="shared" si="4"/>
        <v>0</v>
      </c>
      <c r="AP7" s="220">
        <f t="shared" si="20"/>
        <v>0</v>
      </c>
      <c r="AQ7" s="220">
        <f t="shared" si="20"/>
        <v>0</v>
      </c>
      <c r="AR7" s="198">
        <f t="shared" si="4"/>
        <v>0</v>
      </c>
      <c r="AS7" s="198">
        <f t="shared" si="4"/>
        <v>0</v>
      </c>
    </row>
    <row r="8" spans="1:45">
      <c r="A8" s="240"/>
      <c r="B8" s="242" t="str">
        <f>data!A17</f>
        <v>SUZ-KA12NA</v>
      </c>
      <c r="C8" s="203">
        <f>data!B17</f>
        <v>11100</v>
      </c>
      <c r="D8" s="203">
        <f>data!C17</f>
        <v>13600</v>
      </c>
      <c r="E8" s="204">
        <f>data!D17</f>
        <v>3.5</v>
      </c>
      <c r="F8" s="204">
        <f>data!E17</f>
        <v>2.6156890922613418</v>
      </c>
      <c r="G8" s="204">
        <f>data!F17</f>
        <v>2.3199999999999998</v>
      </c>
      <c r="H8" s="204">
        <f>data!G17</f>
        <v>3.5169988276670576</v>
      </c>
      <c r="I8" s="204">
        <f>data!H17</f>
        <v>4.5134818288393905</v>
      </c>
      <c r="J8" s="204">
        <f>data!I17</f>
        <v>15.4</v>
      </c>
      <c r="K8" s="204">
        <f>data!J17</f>
        <v>12</v>
      </c>
      <c r="L8" s="197">
        <f>data!K17</f>
        <v>0.03</v>
      </c>
      <c r="M8" s="203">
        <f>data!L17</f>
        <v>8300</v>
      </c>
      <c r="N8" s="203">
        <f>data!M17</f>
        <v>6000</v>
      </c>
      <c r="O8" s="205">
        <f>data!P17</f>
        <v>0</v>
      </c>
      <c r="P8" s="205">
        <f>data!Q17</f>
        <v>0</v>
      </c>
      <c r="Q8" s="206">
        <f t="shared" si="5"/>
        <v>0</v>
      </c>
      <c r="R8" s="207">
        <f t="shared" si="6"/>
        <v>0</v>
      </c>
      <c r="S8" s="198">
        <f t="shared" si="7"/>
        <v>0</v>
      </c>
      <c r="T8" s="198">
        <f t="shared" si="8"/>
        <v>0</v>
      </c>
      <c r="U8" s="198">
        <f t="shared" si="9"/>
        <v>0</v>
      </c>
      <c r="V8" s="198">
        <f t="shared" si="10"/>
        <v>0</v>
      </c>
      <c r="W8" s="198">
        <f t="shared" si="11"/>
        <v>0</v>
      </c>
      <c r="X8" s="198">
        <f t="shared" si="12"/>
        <v>0</v>
      </c>
      <c r="Y8" s="198">
        <f t="shared" si="13"/>
        <v>0</v>
      </c>
      <c r="Z8" s="198">
        <f t="shared" si="14"/>
        <v>0</v>
      </c>
      <c r="AA8" s="198">
        <f t="shared" si="15"/>
        <v>0</v>
      </c>
      <c r="AB8" s="198">
        <f t="shared" si="16"/>
        <v>0</v>
      </c>
      <c r="AC8" s="198">
        <f t="shared" si="17"/>
        <v>0</v>
      </c>
      <c r="AD8" s="198">
        <f t="shared" si="18"/>
        <v>0</v>
      </c>
      <c r="AE8" s="198">
        <f t="shared" si="3"/>
        <v>0</v>
      </c>
      <c r="AF8" s="218">
        <f t="shared" si="19"/>
        <v>0</v>
      </c>
      <c r="AG8" s="219">
        <f t="shared" si="19"/>
        <v>0</v>
      </c>
      <c r="AH8" s="221">
        <f t="shared" si="4"/>
        <v>0</v>
      </c>
      <c r="AI8" s="221">
        <f t="shared" si="4"/>
        <v>0</v>
      </c>
      <c r="AJ8" s="221">
        <f t="shared" si="4"/>
        <v>0</v>
      </c>
      <c r="AK8" s="221">
        <f t="shared" si="4"/>
        <v>0</v>
      </c>
      <c r="AL8" s="221">
        <f t="shared" si="4"/>
        <v>0</v>
      </c>
      <c r="AM8" s="221">
        <f t="shared" si="4"/>
        <v>0</v>
      </c>
      <c r="AN8" s="221">
        <f t="shared" si="4"/>
        <v>0</v>
      </c>
      <c r="AO8" s="221">
        <f t="shared" si="4"/>
        <v>0</v>
      </c>
      <c r="AP8" s="220">
        <f t="shared" si="20"/>
        <v>0</v>
      </c>
      <c r="AQ8" s="220">
        <f t="shared" si="20"/>
        <v>0</v>
      </c>
      <c r="AR8" s="198">
        <f t="shared" si="4"/>
        <v>0</v>
      </c>
      <c r="AS8" s="198">
        <f t="shared" si="4"/>
        <v>0</v>
      </c>
    </row>
    <row r="9" spans="1:45">
      <c r="A9" s="240"/>
      <c r="B9" s="242" t="str">
        <f>data!A18</f>
        <v>SUZ-KA15NA</v>
      </c>
      <c r="C9" s="203">
        <f>data!B18</f>
        <v>15000</v>
      </c>
      <c r="D9" s="203">
        <f>data!C18</f>
        <v>18000</v>
      </c>
      <c r="E9" s="204">
        <f>data!D18</f>
        <v>2.7053837135900443</v>
      </c>
      <c r="F9" s="204">
        <f>data!E18</f>
        <v>2.2820221400893117</v>
      </c>
      <c r="G9" s="204">
        <f>data!F18</f>
        <v>2.0099999999999998</v>
      </c>
      <c r="H9" s="204">
        <f>data!G18</f>
        <v>2.9894490035169987</v>
      </c>
      <c r="I9" s="204">
        <f>data!H18</f>
        <v>4.6893317702227435</v>
      </c>
      <c r="J9" s="204">
        <f>data!I18</f>
        <v>16</v>
      </c>
      <c r="K9" s="204">
        <f>data!J18</f>
        <v>10.199999999999999</v>
      </c>
      <c r="L9" s="197">
        <f>data!K18</f>
        <v>0.03</v>
      </c>
      <c r="M9" s="203">
        <f>data!L18</f>
        <v>12000</v>
      </c>
      <c r="N9" s="203">
        <f>data!M18</f>
        <v>7900</v>
      </c>
      <c r="O9" s="205">
        <f>data!P18</f>
        <v>0</v>
      </c>
      <c r="P9" s="205">
        <f>data!Q18</f>
        <v>0</v>
      </c>
      <c r="Q9" s="206">
        <f t="shared" si="5"/>
        <v>0</v>
      </c>
      <c r="R9" s="207">
        <f t="shared" si="6"/>
        <v>0</v>
      </c>
      <c r="S9" s="198">
        <f t="shared" si="7"/>
        <v>0</v>
      </c>
      <c r="T9" s="198">
        <f t="shared" si="8"/>
        <v>0</v>
      </c>
      <c r="U9" s="198">
        <f t="shared" si="9"/>
        <v>0</v>
      </c>
      <c r="V9" s="198">
        <f t="shared" si="10"/>
        <v>0</v>
      </c>
      <c r="W9" s="198">
        <f t="shared" si="11"/>
        <v>0</v>
      </c>
      <c r="X9" s="198">
        <f t="shared" si="12"/>
        <v>0</v>
      </c>
      <c r="Y9" s="198">
        <f t="shared" si="13"/>
        <v>0</v>
      </c>
      <c r="Z9" s="198">
        <f t="shared" si="14"/>
        <v>0</v>
      </c>
      <c r="AA9" s="198">
        <f t="shared" si="15"/>
        <v>0</v>
      </c>
      <c r="AB9" s="198">
        <f t="shared" si="16"/>
        <v>0</v>
      </c>
      <c r="AC9" s="198">
        <f t="shared" si="17"/>
        <v>0</v>
      </c>
      <c r="AD9" s="198">
        <f t="shared" si="18"/>
        <v>0</v>
      </c>
      <c r="AE9" s="198">
        <f t="shared" si="3"/>
        <v>0</v>
      </c>
      <c r="AF9" s="218">
        <f t="shared" si="19"/>
        <v>0</v>
      </c>
      <c r="AG9" s="219">
        <f t="shared" si="19"/>
        <v>0</v>
      </c>
      <c r="AH9" s="221">
        <f t="shared" si="4"/>
        <v>0</v>
      </c>
      <c r="AI9" s="221">
        <f t="shared" si="4"/>
        <v>0</v>
      </c>
      <c r="AJ9" s="221">
        <f t="shared" si="4"/>
        <v>0</v>
      </c>
      <c r="AK9" s="221">
        <f t="shared" si="4"/>
        <v>0</v>
      </c>
      <c r="AL9" s="221">
        <f t="shared" si="4"/>
        <v>0</v>
      </c>
      <c r="AM9" s="221">
        <f t="shared" si="4"/>
        <v>0</v>
      </c>
      <c r="AN9" s="221">
        <f t="shared" si="4"/>
        <v>0</v>
      </c>
      <c r="AO9" s="221">
        <f t="shared" si="4"/>
        <v>0</v>
      </c>
      <c r="AP9" s="220">
        <f t="shared" si="20"/>
        <v>0</v>
      </c>
      <c r="AQ9" s="220">
        <f t="shared" si="20"/>
        <v>0</v>
      </c>
      <c r="AR9" s="198">
        <f t="shared" si="4"/>
        <v>0</v>
      </c>
      <c r="AS9" s="198">
        <f t="shared" si="4"/>
        <v>0</v>
      </c>
    </row>
    <row r="10" spans="1:45">
      <c r="A10" s="240"/>
      <c r="B10" s="242" t="str">
        <f>data!A19</f>
        <v>MSZ-GL09NA-U1</v>
      </c>
      <c r="C10" s="203">
        <f>data!B19</f>
        <v>9000</v>
      </c>
      <c r="D10" s="203">
        <f>data!C19</f>
        <v>10900</v>
      </c>
      <c r="E10" s="204">
        <f>data!D19</f>
        <v>4.4400000000000004</v>
      </c>
      <c r="F10" s="204">
        <f>data!E19</f>
        <v>3.3</v>
      </c>
      <c r="G10" s="204">
        <f>data!F19</f>
        <v>2.91</v>
      </c>
      <c r="H10" s="204">
        <f>data!G19</f>
        <v>4.5134818288393905</v>
      </c>
      <c r="I10" s="204">
        <f>data!H19</f>
        <v>7.2098475967174682</v>
      </c>
      <c r="J10" s="204">
        <f>data!I19</f>
        <v>24.6</v>
      </c>
      <c r="K10" s="204">
        <f>data!J19</f>
        <v>15.4</v>
      </c>
      <c r="L10" s="197">
        <f>data!K19</f>
        <v>0.03</v>
      </c>
      <c r="M10" s="203">
        <f>data!L19</f>
        <v>9400</v>
      </c>
      <c r="N10" s="203">
        <f>data!M19</f>
        <v>7600</v>
      </c>
      <c r="O10" s="205">
        <f>data!P19</f>
        <v>0</v>
      </c>
      <c r="P10" s="205">
        <f>data!Q19</f>
        <v>0</v>
      </c>
      <c r="Q10" s="206">
        <f t="shared" si="5"/>
        <v>0</v>
      </c>
      <c r="R10" s="207">
        <f t="shared" si="6"/>
        <v>0</v>
      </c>
      <c r="S10" s="198">
        <f t="shared" si="7"/>
        <v>0</v>
      </c>
      <c r="T10" s="198">
        <f t="shared" si="8"/>
        <v>0</v>
      </c>
      <c r="U10" s="198">
        <f t="shared" si="9"/>
        <v>0</v>
      </c>
      <c r="V10" s="198">
        <f t="shared" si="10"/>
        <v>0</v>
      </c>
      <c r="W10" s="198">
        <f t="shared" si="11"/>
        <v>0</v>
      </c>
      <c r="X10" s="198">
        <f t="shared" si="12"/>
        <v>0</v>
      </c>
      <c r="Y10" s="198">
        <f t="shared" si="13"/>
        <v>0</v>
      </c>
      <c r="Z10" s="198">
        <f t="shared" si="14"/>
        <v>0</v>
      </c>
      <c r="AA10" s="198">
        <f t="shared" si="15"/>
        <v>0</v>
      </c>
      <c r="AB10" s="198">
        <f t="shared" si="16"/>
        <v>0</v>
      </c>
      <c r="AC10" s="198">
        <f t="shared" si="17"/>
        <v>0</v>
      </c>
      <c r="AD10" s="198">
        <f t="shared" si="18"/>
        <v>0</v>
      </c>
      <c r="AE10" s="198">
        <f t="shared" si="3"/>
        <v>0</v>
      </c>
      <c r="AF10" s="218">
        <f t="shared" ref="AF10:AF14" si="21">Q10</f>
        <v>0</v>
      </c>
      <c r="AG10" s="219">
        <f t="shared" ref="AG10:AG14" si="22">R10</f>
        <v>0</v>
      </c>
      <c r="AH10" s="221">
        <f t="shared" ref="AH10:AH14" si="23">S10*$AE10</f>
        <v>0</v>
      </c>
      <c r="AI10" s="221">
        <f t="shared" ref="AI10:AI14" si="24">T10*$AE10</f>
        <v>0</v>
      </c>
      <c r="AJ10" s="221">
        <f t="shared" ref="AJ10:AJ14" si="25">U10*$AE10</f>
        <v>0</v>
      </c>
      <c r="AK10" s="221">
        <f t="shared" ref="AK10:AK14" si="26">V10*$AE10</f>
        <v>0</v>
      </c>
      <c r="AL10" s="221">
        <f t="shared" ref="AL10:AL14" si="27">W10*$AE10</f>
        <v>0</v>
      </c>
      <c r="AM10" s="221">
        <f t="shared" ref="AM10:AM14" si="28">X10*$AE10</f>
        <v>0</v>
      </c>
      <c r="AN10" s="221">
        <f t="shared" ref="AN10:AN14" si="29">Y10*$AE10</f>
        <v>0</v>
      </c>
      <c r="AO10" s="221">
        <f t="shared" ref="AO10:AO14" si="30">Z10*$AE10</f>
        <v>0</v>
      </c>
      <c r="AP10" s="220">
        <f t="shared" ref="AP10:AP14" si="31">AA10</f>
        <v>0</v>
      </c>
      <c r="AQ10" s="220">
        <f t="shared" ref="AQ10:AQ14" si="32">AB10</f>
        <v>0</v>
      </c>
      <c r="AR10" s="198">
        <f t="shared" ref="AR10:AR14" si="33">AC10*$AE10</f>
        <v>0</v>
      </c>
      <c r="AS10" s="198">
        <f t="shared" ref="AS10:AS14" si="34">AD10*$AE10</f>
        <v>0</v>
      </c>
    </row>
    <row r="11" spans="1:45">
      <c r="A11" s="240"/>
      <c r="B11" s="242" t="str">
        <f>data!A20</f>
        <v>MSZ-GL12NA-U1</v>
      </c>
      <c r="C11" s="203">
        <f>data!B20</f>
        <v>12000</v>
      </c>
      <c r="D11" s="203">
        <f>data!C20</f>
        <v>14400</v>
      </c>
      <c r="E11" s="204">
        <f>data!D20</f>
        <v>3.84</v>
      </c>
      <c r="F11" s="204">
        <f>data!E20</f>
        <v>3.1</v>
      </c>
      <c r="G11" s="204">
        <f>data!F20</f>
        <v>2.93</v>
      </c>
      <c r="H11" s="204">
        <f>data!G20</f>
        <v>3.8100820633059791</v>
      </c>
      <c r="I11" s="204">
        <f>data!H20</f>
        <v>6.7702227432590858</v>
      </c>
      <c r="J11" s="204">
        <f>data!I20</f>
        <v>23.1</v>
      </c>
      <c r="K11" s="204">
        <f>data!J20</f>
        <v>13</v>
      </c>
      <c r="L11" s="197">
        <f>data!K20</f>
        <v>0.03</v>
      </c>
      <c r="M11" s="203">
        <f>data!L20</f>
        <v>12000</v>
      </c>
      <c r="N11" s="203">
        <f>data!M20</f>
        <v>9700</v>
      </c>
      <c r="O11" s="205">
        <f>data!P20</f>
        <v>0</v>
      </c>
      <c r="P11" s="205">
        <f>data!Q20</f>
        <v>0</v>
      </c>
      <c r="Q11" s="206">
        <f t="shared" si="5"/>
        <v>0</v>
      </c>
      <c r="R11" s="207">
        <f t="shared" si="6"/>
        <v>0</v>
      </c>
      <c r="S11" s="198">
        <f t="shared" si="7"/>
        <v>0</v>
      </c>
      <c r="T11" s="198">
        <f t="shared" si="8"/>
        <v>0</v>
      </c>
      <c r="U11" s="198">
        <f t="shared" si="9"/>
        <v>0</v>
      </c>
      <c r="V11" s="198">
        <f t="shared" si="10"/>
        <v>0</v>
      </c>
      <c r="W11" s="198">
        <f t="shared" si="11"/>
        <v>0</v>
      </c>
      <c r="X11" s="198">
        <f t="shared" si="12"/>
        <v>0</v>
      </c>
      <c r="Y11" s="198">
        <f t="shared" si="13"/>
        <v>0</v>
      </c>
      <c r="Z11" s="198">
        <f t="shared" si="14"/>
        <v>0</v>
      </c>
      <c r="AA11" s="198">
        <f t="shared" si="15"/>
        <v>0</v>
      </c>
      <c r="AB11" s="198">
        <f t="shared" si="16"/>
        <v>0</v>
      </c>
      <c r="AC11" s="198">
        <f t="shared" si="17"/>
        <v>0</v>
      </c>
      <c r="AD11" s="198">
        <f t="shared" si="18"/>
        <v>0</v>
      </c>
      <c r="AE11" s="198">
        <f t="shared" si="3"/>
        <v>0</v>
      </c>
      <c r="AF11" s="218">
        <f t="shared" si="21"/>
        <v>0</v>
      </c>
      <c r="AG11" s="219">
        <f t="shared" si="22"/>
        <v>0</v>
      </c>
      <c r="AH11" s="221">
        <f t="shared" si="23"/>
        <v>0</v>
      </c>
      <c r="AI11" s="221">
        <f t="shared" si="24"/>
        <v>0</v>
      </c>
      <c r="AJ11" s="221">
        <f t="shared" si="25"/>
        <v>0</v>
      </c>
      <c r="AK11" s="221">
        <f t="shared" si="26"/>
        <v>0</v>
      </c>
      <c r="AL11" s="221">
        <f t="shared" si="27"/>
        <v>0</v>
      </c>
      <c r="AM11" s="221">
        <f t="shared" si="28"/>
        <v>0</v>
      </c>
      <c r="AN11" s="221">
        <f t="shared" si="29"/>
        <v>0</v>
      </c>
      <c r="AO11" s="221">
        <f t="shared" si="30"/>
        <v>0</v>
      </c>
      <c r="AP11" s="220">
        <f t="shared" si="31"/>
        <v>0</v>
      </c>
      <c r="AQ11" s="220">
        <f t="shared" si="32"/>
        <v>0</v>
      </c>
      <c r="AR11" s="198">
        <f t="shared" si="33"/>
        <v>0</v>
      </c>
      <c r="AS11" s="198">
        <f t="shared" si="34"/>
        <v>0</v>
      </c>
    </row>
    <row r="12" spans="1:45">
      <c r="A12" s="240">
        <v>1</v>
      </c>
      <c r="B12" s="242" t="str">
        <f>data!A21</f>
        <v>MSZ-GL15NA-U1</v>
      </c>
      <c r="C12" s="203">
        <f>data!B21</f>
        <v>14000</v>
      </c>
      <c r="D12" s="203">
        <f>data!C21</f>
        <v>18000</v>
      </c>
      <c r="E12" s="204">
        <f>data!D21</f>
        <v>3.3</v>
      </c>
      <c r="F12" s="204">
        <f>data!E21</f>
        <v>3</v>
      </c>
      <c r="G12" s="204">
        <f>data!F21</f>
        <v>2.63</v>
      </c>
      <c r="H12" s="204">
        <f>data!G21</f>
        <v>3.8100820633059791</v>
      </c>
      <c r="I12" s="204">
        <f>data!H21</f>
        <v>6.3305978898007043</v>
      </c>
      <c r="J12" s="204">
        <f>data!I21</f>
        <v>21.6</v>
      </c>
      <c r="K12" s="204">
        <f>data!J21</f>
        <v>13</v>
      </c>
      <c r="L12" s="197">
        <f>data!K21</f>
        <v>0.03</v>
      </c>
      <c r="M12" s="203">
        <f>data!L21</f>
        <v>16400</v>
      </c>
      <c r="N12" s="203">
        <f>data!M21</f>
        <v>13700</v>
      </c>
      <c r="O12" s="205">
        <f>data!P21</f>
        <v>0</v>
      </c>
      <c r="P12" s="205">
        <f>data!Q21</f>
        <v>0</v>
      </c>
      <c r="Q12" s="206">
        <f t="shared" si="5"/>
        <v>14000</v>
      </c>
      <c r="R12" s="207">
        <f t="shared" si="6"/>
        <v>18000</v>
      </c>
      <c r="S12" s="198">
        <f t="shared" si="7"/>
        <v>3.3</v>
      </c>
      <c r="T12" s="198">
        <f t="shared" si="8"/>
        <v>3</v>
      </c>
      <c r="U12" s="198">
        <f t="shared" si="9"/>
        <v>2.63</v>
      </c>
      <c r="V12" s="198">
        <f t="shared" si="10"/>
        <v>3.8100820633059791</v>
      </c>
      <c r="W12" s="198">
        <f t="shared" si="11"/>
        <v>6.3305978898007043</v>
      </c>
      <c r="X12" s="198">
        <f t="shared" si="12"/>
        <v>21.6</v>
      </c>
      <c r="Y12" s="198">
        <f t="shared" si="13"/>
        <v>13</v>
      </c>
      <c r="Z12" s="198">
        <f t="shared" si="14"/>
        <v>0.03</v>
      </c>
      <c r="AA12" s="198">
        <f t="shared" si="15"/>
        <v>16400</v>
      </c>
      <c r="AB12" s="198">
        <f t="shared" si="16"/>
        <v>13700</v>
      </c>
      <c r="AC12" s="198">
        <f t="shared" si="17"/>
        <v>0</v>
      </c>
      <c r="AD12" s="198">
        <f t="shared" si="18"/>
        <v>0</v>
      </c>
      <c r="AE12" s="198">
        <f t="shared" si="3"/>
        <v>0.2834008097165992</v>
      </c>
      <c r="AF12" s="218">
        <f t="shared" si="21"/>
        <v>14000</v>
      </c>
      <c r="AG12" s="219">
        <f t="shared" si="22"/>
        <v>18000</v>
      </c>
      <c r="AH12" s="221">
        <f t="shared" si="23"/>
        <v>0.93522267206477727</v>
      </c>
      <c r="AI12" s="221">
        <f t="shared" si="24"/>
        <v>0.8502024291497976</v>
      </c>
      <c r="AJ12" s="221">
        <f t="shared" si="25"/>
        <v>0.7453441295546559</v>
      </c>
      <c r="AK12" s="221">
        <f t="shared" si="26"/>
        <v>1.0797803418276055</v>
      </c>
      <c r="AL12" s="221">
        <f t="shared" si="27"/>
        <v>1.7940965679597138</v>
      </c>
      <c r="AM12" s="221">
        <f t="shared" si="28"/>
        <v>6.1214574898785434</v>
      </c>
      <c r="AN12" s="221">
        <f t="shared" si="29"/>
        <v>3.6842105263157894</v>
      </c>
      <c r="AO12" s="221">
        <f t="shared" si="30"/>
        <v>8.5020242914979755E-3</v>
      </c>
      <c r="AP12" s="220">
        <f t="shared" si="31"/>
        <v>16400</v>
      </c>
      <c r="AQ12" s="220">
        <f t="shared" si="32"/>
        <v>13700</v>
      </c>
      <c r="AR12" s="198">
        <f t="shared" si="33"/>
        <v>0</v>
      </c>
      <c r="AS12" s="198">
        <f t="shared" si="34"/>
        <v>0</v>
      </c>
    </row>
    <row r="13" spans="1:45">
      <c r="A13" s="240"/>
      <c r="B13" s="242" t="str">
        <f>data!A22</f>
        <v>MSZ-GL18NA-U1</v>
      </c>
      <c r="C13" s="203">
        <f>data!B22</f>
        <v>18000</v>
      </c>
      <c r="D13" s="203">
        <f>data!C22</f>
        <v>21600</v>
      </c>
      <c r="E13" s="204">
        <f>data!D22</f>
        <v>3.77</v>
      </c>
      <c r="F13" s="204">
        <f>data!E22</f>
        <v>2.73</v>
      </c>
      <c r="G13" s="204">
        <f>data!F22</f>
        <v>2.36</v>
      </c>
      <c r="H13" s="204">
        <f>data!G22</f>
        <v>3.9273153575615476</v>
      </c>
      <c r="I13" s="204">
        <f>data!H22</f>
        <v>6.0082063305978899</v>
      </c>
      <c r="J13" s="204">
        <f>data!I22</f>
        <v>20.5</v>
      </c>
      <c r="K13" s="204">
        <f>data!J22</f>
        <v>13.4</v>
      </c>
      <c r="L13" s="197">
        <f>data!K22</f>
        <v>0.03</v>
      </c>
      <c r="M13" s="203">
        <f>data!L22</f>
        <v>18200</v>
      </c>
      <c r="N13" s="203">
        <f>data!M22</f>
        <v>14500</v>
      </c>
      <c r="O13" s="205">
        <f>data!P22</f>
        <v>0</v>
      </c>
      <c r="P13" s="205">
        <f>data!Q22</f>
        <v>0</v>
      </c>
      <c r="Q13" s="206">
        <f t="shared" si="5"/>
        <v>0</v>
      </c>
      <c r="R13" s="207">
        <f t="shared" si="6"/>
        <v>0</v>
      </c>
      <c r="S13" s="198">
        <f t="shared" si="7"/>
        <v>0</v>
      </c>
      <c r="T13" s="198">
        <f t="shared" si="8"/>
        <v>0</v>
      </c>
      <c r="U13" s="198">
        <f t="shared" si="9"/>
        <v>0</v>
      </c>
      <c r="V13" s="198">
        <f t="shared" si="10"/>
        <v>0</v>
      </c>
      <c r="W13" s="198">
        <f t="shared" si="11"/>
        <v>0</v>
      </c>
      <c r="X13" s="198">
        <f t="shared" si="12"/>
        <v>0</v>
      </c>
      <c r="Y13" s="198">
        <f t="shared" si="13"/>
        <v>0</v>
      </c>
      <c r="Z13" s="198">
        <f t="shared" si="14"/>
        <v>0</v>
      </c>
      <c r="AA13" s="198">
        <f t="shared" si="15"/>
        <v>0</v>
      </c>
      <c r="AB13" s="198">
        <f t="shared" si="16"/>
        <v>0</v>
      </c>
      <c r="AC13" s="198">
        <f t="shared" si="17"/>
        <v>0</v>
      </c>
      <c r="AD13" s="198">
        <f t="shared" si="18"/>
        <v>0</v>
      </c>
      <c r="AE13" s="198">
        <f t="shared" si="3"/>
        <v>0</v>
      </c>
      <c r="AF13" s="218">
        <f t="shared" si="21"/>
        <v>0</v>
      </c>
      <c r="AG13" s="219">
        <f t="shared" si="22"/>
        <v>0</v>
      </c>
      <c r="AH13" s="221">
        <f t="shared" si="23"/>
        <v>0</v>
      </c>
      <c r="AI13" s="221">
        <f t="shared" si="24"/>
        <v>0</v>
      </c>
      <c r="AJ13" s="221">
        <f t="shared" si="25"/>
        <v>0</v>
      </c>
      <c r="AK13" s="221">
        <f t="shared" si="26"/>
        <v>0</v>
      </c>
      <c r="AL13" s="221">
        <f t="shared" si="27"/>
        <v>0</v>
      </c>
      <c r="AM13" s="221">
        <f t="shared" si="28"/>
        <v>0</v>
      </c>
      <c r="AN13" s="221">
        <f t="shared" si="29"/>
        <v>0</v>
      </c>
      <c r="AO13" s="221">
        <f t="shared" si="30"/>
        <v>0</v>
      </c>
      <c r="AP13" s="220">
        <f t="shared" si="31"/>
        <v>0</v>
      </c>
      <c r="AQ13" s="220">
        <f t="shared" si="32"/>
        <v>0</v>
      </c>
      <c r="AR13" s="198">
        <f t="shared" si="33"/>
        <v>0</v>
      </c>
      <c r="AS13" s="198">
        <f t="shared" si="34"/>
        <v>0</v>
      </c>
    </row>
    <row r="14" spans="1:45">
      <c r="A14" s="240"/>
      <c r="B14" s="242" t="str">
        <f>data!A23</f>
        <v>MSZ-GL24NA-U1</v>
      </c>
      <c r="C14" s="203">
        <f>data!B23</f>
        <v>22400</v>
      </c>
      <c r="D14" s="203">
        <f>data!C23</f>
        <v>27600</v>
      </c>
      <c r="E14" s="204">
        <f>data!D23</f>
        <v>3.46</v>
      </c>
      <c r="F14" s="204">
        <f>data!E23</f>
        <v>2.65</v>
      </c>
      <c r="G14" s="204">
        <f>data!F23</f>
        <v>1.98</v>
      </c>
      <c r="H14" s="204">
        <f>data!G23</f>
        <v>3.6635404454865181</v>
      </c>
      <c r="I14" s="204">
        <f>data!H23</f>
        <v>6.0082063305978899</v>
      </c>
      <c r="J14" s="204">
        <f>data!I23</f>
        <v>20.5</v>
      </c>
      <c r="K14" s="204">
        <f>data!J23</f>
        <v>12.5</v>
      </c>
      <c r="L14" s="197">
        <f>data!K23</f>
        <v>0.03</v>
      </c>
      <c r="M14" s="203">
        <f>data!L23</f>
        <v>24600</v>
      </c>
      <c r="N14" s="203">
        <f>data!M23</f>
        <v>21160</v>
      </c>
      <c r="O14" s="205">
        <f>data!P23</f>
        <v>0</v>
      </c>
      <c r="P14" s="205">
        <f>data!Q23</f>
        <v>0</v>
      </c>
      <c r="Q14" s="206">
        <f t="shared" si="5"/>
        <v>0</v>
      </c>
      <c r="R14" s="207">
        <f t="shared" si="6"/>
        <v>0</v>
      </c>
      <c r="S14" s="198">
        <f t="shared" si="7"/>
        <v>0</v>
      </c>
      <c r="T14" s="198">
        <f t="shared" si="8"/>
        <v>0</v>
      </c>
      <c r="U14" s="198">
        <f t="shared" si="9"/>
        <v>0</v>
      </c>
      <c r="V14" s="198">
        <f t="shared" si="10"/>
        <v>0</v>
      </c>
      <c r="W14" s="198">
        <f t="shared" si="11"/>
        <v>0</v>
      </c>
      <c r="X14" s="198">
        <f t="shared" si="12"/>
        <v>0</v>
      </c>
      <c r="Y14" s="198">
        <f t="shared" si="13"/>
        <v>0</v>
      </c>
      <c r="Z14" s="198">
        <f t="shared" si="14"/>
        <v>0</v>
      </c>
      <c r="AA14" s="198">
        <f t="shared" si="15"/>
        <v>0</v>
      </c>
      <c r="AB14" s="198">
        <f t="shared" si="16"/>
        <v>0</v>
      </c>
      <c r="AC14" s="198">
        <f t="shared" si="17"/>
        <v>0</v>
      </c>
      <c r="AD14" s="198">
        <f t="shared" si="18"/>
        <v>0</v>
      </c>
      <c r="AE14" s="198">
        <f t="shared" si="3"/>
        <v>0</v>
      </c>
      <c r="AF14" s="218">
        <f t="shared" si="21"/>
        <v>0</v>
      </c>
      <c r="AG14" s="219">
        <f t="shared" si="22"/>
        <v>0</v>
      </c>
      <c r="AH14" s="221">
        <f t="shared" si="23"/>
        <v>0</v>
      </c>
      <c r="AI14" s="221">
        <f t="shared" si="24"/>
        <v>0</v>
      </c>
      <c r="AJ14" s="221">
        <f t="shared" si="25"/>
        <v>0</v>
      </c>
      <c r="AK14" s="221">
        <f t="shared" si="26"/>
        <v>0</v>
      </c>
      <c r="AL14" s="221">
        <f t="shared" si="27"/>
        <v>0</v>
      </c>
      <c r="AM14" s="221">
        <f t="shared" si="28"/>
        <v>0</v>
      </c>
      <c r="AN14" s="221">
        <f t="shared" si="29"/>
        <v>0</v>
      </c>
      <c r="AO14" s="221">
        <f t="shared" si="30"/>
        <v>0</v>
      </c>
      <c r="AP14" s="220">
        <f t="shared" si="31"/>
        <v>0</v>
      </c>
      <c r="AQ14" s="220">
        <f t="shared" si="32"/>
        <v>0</v>
      </c>
      <c r="AR14" s="198">
        <f t="shared" si="33"/>
        <v>0</v>
      </c>
      <c r="AS14" s="198">
        <f t="shared" si="34"/>
        <v>0</v>
      </c>
    </row>
    <row r="15" spans="1:45">
      <c r="A15" s="240"/>
      <c r="B15" s="242" t="str">
        <f>data!A24</f>
        <v>MXZ-2C20NA (non-ducted)</v>
      </c>
      <c r="C15" s="203">
        <f>data!B24</f>
        <v>18000</v>
      </c>
      <c r="D15" s="203">
        <f>data!C24</f>
        <v>22000</v>
      </c>
      <c r="E15" s="204">
        <f>data!D24</f>
        <v>3.93</v>
      </c>
      <c r="F15" s="204">
        <f>data!E24</f>
        <v>2.82</v>
      </c>
      <c r="G15" s="204">
        <f>data!F24</f>
        <v>2.5739210459404362</v>
      </c>
      <c r="H15" s="204">
        <f>data!G24</f>
        <v>3.7221570926143022</v>
      </c>
      <c r="I15" s="204">
        <f>data!H24</f>
        <v>5.8616647127784294</v>
      </c>
      <c r="J15" s="204">
        <f>data!I24</f>
        <v>20</v>
      </c>
      <c r="K15" s="204">
        <f>data!J24</f>
        <v>12.7</v>
      </c>
      <c r="L15" s="197">
        <f>data!K24</f>
        <v>0.1</v>
      </c>
      <c r="M15" s="203">
        <f>data!L24</f>
        <v>15500</v>
      </c>
      <c r="N15" s="203">
        <f>data!M24</f>
        <v>11000</v>
      </c>
      <c r="O15" s="205">
        <f>data!P24</f>
        <v>1.4</v>
      </c>
      <c r="P15" s="205">
        <f>data!Q24</f>
        <v>0</v>
      </c>
      <c r="Q15" s="206">
        <f t="shared" si="5"/>
        <v>0</v>
      </c>
      <c r="R15" s="207">
        <f t="shared" si="6"/>
        <v>0</v>
      </c>
      <c r="S15" s="198">
        <f t="shared" si="7"/>
        <v>0</v>
      </c>
      <c r="T15" s="198">
        <f t="shared" si="8"/>
        <v>0</v>
      </c>
      <c r="U15" s="198">
        <f t="shared" si="9"/>
        <v>0</v>
      </c>
      <c r="V15" s="198">
        <f t="shared" si="10"/>
        <v>0</v>
      </c>
      <c r="W15" s="198">
        <f t="shared" si="11"/>
        <v>0</v>
      </c>
      <c r="X15" s="198">
        <f t="shared" si="12"/>
        <v>0</v>
      </c>
      <c r="Y15" s="198">
        <f t="shared" si="13"/>
        <v>0</v>
      </c>
      <c r="Z15" s="198">
        <f t="shared" si="14"/>
        <v>0</v>
      </c>
      <c r="AA15" s="198">
        <f t="shared" si="15"/>
        <v>0</v>
      </c>
      <c r="AB15" s="198">
        <f t="shared" si="16"/>
        <v>0</v>
      </c>
      <c r="AC15" s="198">
        <f t="shared" si="17"/>
        <v>0</v>
      </c>
      <c r="AD15" s="198">
        <f t="shared" si="18"/>
        <v>0</v>
      </c>
      <c r="AE15" s="198">
        <f t="shared" si="3"/>
        <v>0</v>
      </c>
      <c r="AF15" s="218">
        <f t="shared" si="19"/>
        <v>0</v>
      </c>
      <c r="AG15" s="219">
        <f t="shared" si="19"/>
        <v>0</v>
      </c>
      <c r="AH15" s="221">
        <f t="shared" si="4"/>
        <v>0</v>
      </c>
      <c r="AI15" s="221">
        <f t="shared" si="4"/>
        <v>0</v>
      </c>
      <c r="AJ15" s="221">
        <f t="shared" si="4"/>
        <v>0</v>
      </c>
      <c r="AK15" s="221">
        <f t="shared" si="4"/>
        <v>0</v>
      </c>
      <c r="AL15" s="221">
        <f t="shared" si="4"/>
        <v>0</v>
      </c>
      <c r="AM15" s="221">
        <f t="shared" si="4"/>
        <v>0</v>
      </c>
      <c r="AN15" s="221">
        <f t="shared" si="4"/>
        <v>0</v>
      </c>
      <c r="AO15" s="221">
        <f t="shared" si="4"/>
        <v>0</v>
      </c>
      <c r="AP15" s="220">
        <f t="shared" si="20"/>
        <v>0</v>
      </c>
      <c r="AQ15" s="220">
        <f t="shared" si="20"/>
        <v>0</v>
      </c>
      <c r="AR15" s="198">
        <f t="shared" si="4"/>
        <v>0</v>
      </c>
      <c r="AS15" s="198">
        <f t="shared" si="4"/>
        <v>0</v>
      </c>
    </row>
    <row r="16" spans="1:45">
      <c r="A16" s="240"/>
      <c r="B16" s="242" t="str">
        <f>data!A25</f>
        <v>MXZ-2C20NA (Mixed)</v>
      </c>
      <c r="C16" s="203">
        <f>data!B25</f>
        <v>19000</v>
      </c>
      <c r="D16" s="203">
        <f>data!C25</f>
        <v>22000</v>
      </c>
      <c r="E16" s="204">
        <f>data!D25</f>
        <v>3.7850000000000001</v>
      </c>
      <c r="F16" s="204">
        <f>data!E25</f>
        <v>2.875</v>
      </c>
      <c r="G16" s="204">
        <f>data!F25</f>
        <v>2.6241216337158706</v>
      </c>
      <c r="H16" s="204">
        <f>data!G25</f>
        <v>3.3264947245017584</v>
      </c>
      <c r="I16" s="204">
        <f>data!H25</f>
        <v>5.2754982415005864</v>
      </c>
      <c r="J16" s="204">
        <f>data!I25</f>
        <v>18</v>
      </c>
      <c r="K16" s="204">
        <f>data!J25</f>
        <v>11.35</v>
      </c>
      <c r="L16" s="197">
        <f>data!K25</f>
        <v>0.1</v>
      </c>
      <c r="M16" s="203">
        <f>data!L25</f>
        <v>15000</v>
      </c>
      <c r="N16" s="203">
        <f>data!M25</f>
        <v>11000</v>
      </c>
      <c r="O16" s="205">
        <f>data!P25</f>
        <v>1.4</v>
      </c>
      <c r="P16" s="205">
        <f>data!Q25</f>
        <v>0</v>
      </c>
      <c r="Q16" s="206">
        <f t="shared" ref="Q16:Q17" si="35">A16*C16</f>
        <v>0</v>
      </c>
      <c r="R16" s="207">
        <f t="shared" ref="R16:R17" si="36">A16*D16</f>
        <v>0</v>
      </c>
      <c r="S16" s="198">
        <f t="shared" ref="S16:S17" si="37">IF($A16=0,0,$A16*E16/$A16)</f>
        <v>0</v>
      </c>
      <c r="T16" s="198">
        <f t="shared" ref="T16:T17" si="38">IF($A16=0,0,$A16*F16/$A16)</f>
        <v>0</v>
      </c>
      <c r="U16" s="198">
        <f t="shared" ref="U16:U17" si="39">IF($A16=0,0,$A16*G16/$A16)</f>
        <v>0</v>
      </c>
      <c r="V16" s="198">
        <f t="shared" ref="V16:V17" si="40">IF($A16=0,0,$A16*H16/$A16)</f>
        <v>0</v>
      </c>
      <c r="W16" s="198">
        <f t="shared" ref="W16:W17" si="41">IF($A16=0,0,$A16*I16/$A16)</f>
        <v>0</v>
      </c>
      <c r="X16" s="198">
        <f t="shared" ref="X16:X17" si="42">IF($A16=0,0,$A16*J16/$A16)</f>
        <v>0</v>
      </c>
      <c r="Y16" s="198">
        <f t="shared" ref="Y16:Y17" si="43">IF($A16=0,0,$A16*K16/$A16)</f>
        <v>0</v>
      </c>
      <c r="Z16" s="198">
        <f t="shared" ref="Z16:Z17" si="44">IF($A16=0,0,$A16*L16/$A16)</f>
        <v>0</v>
      </c>
      <c r="AA16" s="198">
        <f t="shared" ref="AA16:AA17" si="45">IF($A16=0,0,$A16*M16)</f>
        <v>0</v>
      </c>
      <c r="AB16" s="198">
        <f t="shared" ref="AB16:AB17" si="46">IF($A16=0,0,$A16*N16)</f>
        <v>0</v>
      </c>
      <c r="AC16" s="198">
        <f t="shared" ref="AC16:AC17" si="47">IF($A16=0,0,O16)</f>
        <v>0</v>
      </c>
      <c r="AD16" s="198">
        <f t="shared" ref="AD16:AD17" si="48">IF($A16=0,0,$A16*P16)</f>
        <v>0</v>
      </c>
      <c r="AE16" s="198">
        <f t="shared" ref="AE16:AE17" si="49">IF(Q16=0,0,Q16/$Q$46)</f>
        <v>0</v>
      </c>
      <c r="AF16" s="218">
        <f t="shared" ref="AF16:AF17" si="50">Q16</f>
        <v>0</v>
      </c>
      <c r="AG16" s="219">
        <f t="shared" ref="AG16:AG17" si="51">R16</f>
        <v>0</v>
      </c>
      <c r="AH16" s="221">
        <f t="shared" ref="AH16:AH17" si="52">S16*$AE16</f>
        <v>0</v>
      </c>
      <c r="AI16" s="221">
        <f t="shared" ref="AI16:AI17" si="53">T16*$AE16</f>
        <v>0</v>
      </c>
      <c r="AJ16" s="221">
        <f t="shared" ref="AJ16:AJ17" si="54">U16*$AE16</f>
        <v>0</v>
      </c>
      <c r="AK16" s="221">
        <f t="shared" ref="AK16:AK17" si="55">V16*$AE16</f>
        <v>0</v>
      </c>
      <c r="AL16" s="221">
        <f t="shared" ref="AL16:AL17" si="56">W16*$AE16</f>
        <v>0</v>
      </c>
      <c r="AM16" s="221">
        <f t="shared" ref="AM16:AM17" si="57">X16*$AE16</f>
        <v>0</v>
      </c>
      <c r="AN16" s="221">
        <f t="shared" ref="AN16:AN17" si="58">Y16*$AE16</f>
        <v>0</v>
      </c>
      <c r="AO16" s="221">
        <f t="shared" ref="AO16:AO17" si="59">Z16*$AE16</f>
        <v>0</v>
      </c>
      <c r="AP16" s="220">
        <f t="shared" ref="AP16:AP17" si="60">AA16</f>
        <v>0</v>
      </c>
      <c r="AQ16" s="220">
        <f t="shared" ref="AQ16:AQ17" si="61">AB16</f>
        <v>0</v>
      </c>
      <c r="AR16" s="198">
        <f t="shared" ref="AR16:AR17" si="62">AC16*$AE16</f>
        <v>0</v>
      </c>
      <c r="AS16" s="198">
        <f t="shared" ref="AS16:AS17" si="63">AD16*$AE16</f>
        <v>0</v>
      </c>
    </row>
    <row r="17" spans="1:45">
      <c r="A17" s="240"/>
      <c r="B17" s="242" t="str">
        <f>data!A26</f>
        <v>MXZ-2C20NA (Ducted)</v>
      </c>
      <c r="C17" s="203">
        <f>data!B26</f>
        <v>20000</v>
      </c>
      <c r="D17" s="203">
        <f>data!C26</f>
        <v>22000</v>
      </c>
      <c r="E17" s="204">
        <f>data!D26</f>
        <v>3.64</v>
      </c>
      <c r="F17" s="204">
        <f>data!E26</f>
        <v>2.93</v>
      </c>
      <c r="G17" s="204">
        <f>data!F26</f>
        <v>2.6743222214913045</v>
      </c>
      <c r="H17" s="204">
        <f>data!G26</f>
        <v>2.9308323563892147</v>
      </c>
      <c r="I17" s="204">
        <f>data!H26</f>
        <v>4.6893317702227435</v>
      </c>
      <c r="J17" s="204">
        <f>data!I26</f>
        <v>16</v>
      </c>
      <c r="K17" s="204">
        <f>data!J26</f>
        <v>10</v>
      </c>
      <c r="L17" s="197">
        <f>data!K26</f>
        <v>0.1</v>
      </c>
      <c r="M17" s="203">
        <f>data!L26</f>
        <v>14500</v>
      </c>
      <c r="N17" s="203">
        <f>data!M26</f>
        <v>10900</v>
      </c>
      <c r="O17" s="205">
        <f>data!P26</f>
        <v>1.4</v>
      </c>
      <c r="P17" s="205">
        <f>data!Q26</f>
        <v>0</v>
      </c>
      <c r="Q17" s="206">
        <f t="shared" si="35"/>
        <v>0</v>
      </c>
      <c r="R17" s="207">
        <f t="shared" si="36"/>
        <v>0</v>
      </c>
      <c r="S17" s="198">
        <f t="shared" si="37"/>
        <v>0</v>
      </c>
      <c r="T17" s="198">
        <f t="shared" si="38"/>
        <v>0</v>
      </c>
      <c r="U17" s="198">
        <f t="shared" si="39"/>
        <v>0</v>
      </c>
      <c r="V17" s="198">
        <f t="shared" si="40"/>
        <v>0</v>
      </c>
      <c r="W17" s="198">
        <f t="shared" si="41"/>
        <v>0</v>
      </c>
      <c r="X17" s="198">
        <f t="shared" si="42"/>
        <v>0</v>
      </c>
      <c r="Y17" s="198">
        <f t="shared" si="43"/>
        <v>0</v>
      </c>
      <c r="Z17" s="198">
        <f t="shared" si="44"/>
        <v>0</v>
      </c>
      <c r="AA17" s="198">
        <f t="shared" si="45"/>
        <v>0</v>
      </c>
      <c r="AB17" s="198">
        <f t="shared" si="46"/>
        <v>0</v>
      </c>
      <c r="AC17" s="198">
        <f t="shared" si="47"/>
        <v>0</v>
      </c>
      <c r="AD17" s="198">
        <f t="shared" si="48"/>
        <v>0</v>
      </c>
      <c r="AE17" s="198">
        <f t="shared" si="49"/>
        <v>0</v>
      </c>
      <c r="AF17" s="218">
        <f t="shared" si="50"/>
        <v>0</v>
      </c>
      <c r="AG17" s="219">
        <f t="shared" si="51"/>
        <v>0</v>
      </c>
      <c r="AH17" s="221">
        <f t="shared" si="52"/>
        <v>0</v>
      </c>
      <c r="AI17" s="221">
        <f t="shared" si="53"/>
        <v>0</v>
      </c>
      <c r="AJ17" s="221">
        <f t="shared" si="54"/>
        <v>0</v>
      </c>
      <c r="AK17" s="221">
        <f t="shared" si="55"/>
        <v>0</v>
      </c>
      <c r="AL17" s="221">
        <f t="shared" si="56"/>
        <v>0</v>
      </c>
      <c r="AM17" s="221">
        <f t="shared" si="57"/>
        <v>0</v>
      </c>
      <c r="AN17" s="221">
        <f t="shared" si="58"/>
        <v>0</v>
      </c>
      <c r="AO17" s="221">
        <f t="shared" si="59"/>
        <v>0</v>
      </c>
      <c r="AP17" s="220">
        <f t="shared" si="60"/>
        <v>0</v>
      </c>
      <c r="AQ17" s="220">
        <f t="shared" si="61"/>
        <v>0</v>
      </c>
      <c r="AR17" s="198">
        <f t="shared" si="62"/>
        <v>0</v>
      </c>
      <c r="AS17" s="198">
        <f t="shared" si="63"/>
        <v>0</v>
      </c>
    </row>
    <row r="18" spans="1:45">
      <c r="A18" s="240"/>
      <c r="B18" s="242" t="str">
        <f>data!A27</f>
        <v>MXZ-3C24NA (non-ducted)</v>
      </c>
      <c r="C18" s="203">
        <f>data!B27</f>
        <v>22000</v>
      </c>
      <c r="D18" s="203">
        <f>data!C27</f>
        <v>25000</v>
      </c>
      <c r="E18" s="204">
        <f>data!D27</f>
        <v>4.2</v>
      </c>
      <c r="F18" s="204">
        <f>data!E27</f>
        <v>2.97</v>
      </c>
      <c r="G18" s="204">
        <f>data!F27</f>
        <v>2.818151077696085</v>
      </c>
      <c r="H18" s="204">
        <f>data!G27</f>
        <v>3.9859320046893316</v>
      </c>
      <c r="I18" s="204">
        <f>data!H27</f>
        <v>5.8616647127784294</v>
      </c>
      <c r="J18" s="204">
        <f>data!I27</f>
        <v>20</v>
      </c>
      <c r="K18" s="204">
        <f>data!J27</f>
        <v>13.6</v>
      </c>
      <c r="L18" s="197">
        <f>data!K27</f>
        <v>0.1</v>
      </c>
      <c r="M18" s="203">
        <f>data!L27</f>
        <v>19600</v>
      </c>
      <c r="N18" s="203">
        <f>data!M27</f>
        <v>13250</v>
      </c>
      <c r="O18" s="205">
        <f>data!P27</f>
        <v>1.4</v>
      </c>
      <c r="P18" s="205">
        <f>data!Q27</f>
        <v>0</v>
      </c>
      <c r="Q18" s="206">
        <f t="shared" si="5"/>
        <v>0</v>
      </c>
      <c r="R18" s="207">
        <f t="shared" si="6"/>
        <v>0</v>
      </c>
      <c r="S18" s="198">
        <f t="shared" si="7"/>
        <v>0</v>
      </c>
      <c r="T18" s="198">
        <f t="shared" si="8"/>
        <v>0</v>
      </c>
      <c r="U18" s="198">
        <f t="shared" si="9"/>
        <v>0</v>
      </c>
      <c r="V18" s="198">
        <f t="shared" si="10"/>
        <v>0</v>
      </c>
      <c r="W18" s="198">
        <f t="shared" si="11"/>
        <v>0</v>
      </c>
      <c r="X18" s="198">
        <f t="shared" si="12"/>
        <v>0</v>
      </c>
      <c r="Y18" s="198">
        <f t="shared" si="13"/>
        <v>0</v>
      </c>
      <c r="Z18" s="198">
        <f t="shared" si="14"/>
        <v>0</v>
      </c>
      <c r="AA18" s="198">
        <f t="shared" si="15"/>
        <v>0</v>
      </c>
      <c r="AB18" s="198">
        <f t="shared" si="16"/>
        <v>0</v>
      </c>
      <c r="AC18" s="198">
        <f t="shared" si="17"/>
        <v>0</v>
      </c>
      <c r="AD18" s="198">
        <f t="shared" si="18"/>
        <v>0</v>
      </c>
      <c r="AE18" s="198">
        <f>IF(Q18=0,0,Q18/$Q$46)</f>
        <v>0</v>
      </c>
      <c r="AF18" s="218">
        <f t="shared" si="19"/>
        <v>0</v>
      </c>
      <c r="AG18" s="219">
        <f t="shared" si="19"/>
        <v>0</v>
      </c>
      <c r="AH18" s="221">
        <f t="shared" si="4"/>
        <v>0</v>
      </c>
      <c r="AI18" s="221">
        <f t="shared" si="4"/>
        <v>0</v>
      </c>
      <c r="AJ18" s="221">
        <f t="shared" si="4"/>
        <v>0</v>
      </c>
      <c r="AK18" s="221">
        <f t="shared" si="4"/>
        <v>0</v>
      </c>
      <c r="AL18" s="221">
        <f t="shared" si="4"/>
        <v>0</v>
      </c>
      <c r="AM18" s="221">
        <f t="shared" si="4"/>
        <v>0</v>
      </c>
      <c r="AN18" s="221">
        <f t="shared" si="4"/>
        <v>0</v>
      </c>
      <c r="AO18" s="221">
        <f t="shared" si="4"/>
        <v>0</v>
      </c>
      <c r="AP18" s="220">
        <f t="shared" si="20"/>
        <v>0</v>
      </c>
      <c r="AQ18" s="220">
        <f t="shared" si="20"/>
        <v>0</v>
      </c>
      <c r="AR18" s="198">
        <f t="shared" si="4"/>
        <v>0</v>
      </c>
      <c r="AS18" s="198">
        <f t="shared" si="4"/>
        <v>0</v>
      </c>
    </row>
    <row r="19" spans="1:45">
      <c r="A19" s="240"/>
      <c r="B19" s="242" t="str">
        <f>data!A28</f>
        <v>MXZ-3C24NA (Mixed)</v>
      </c>
      <c r="C19" s="203">
        <f>data!B28</f>
        <v>22800</v>
      </c>
      <c r="D19" s="203">
        <f>data!C28</f>
        <v>24800</v>
      </c>
      <c r="E19" s="204">
        <f>data!D28</f>
        <v>4</v>
      </c>
      <c r="F19" s="204">
        <f>data!E28</f>
        <v>2.79</v>
      </c>
      <c r="G19" s="204">
        <f>data!F28</f>
        <v>2.647354042684201</v>
      </c>
      <c r="H19" s="204">
        <f>data!G28</f>
        <v>3.6342321219226257</v>
      </c>
      <c r="I19" s="204">
        <f>data!H28</f>
        <v>5.2754982415005864</v>
      </c>
      <c r="J19" s="204">
        <f>data!I28</f>
        <v>18</v>
      </c>
      <c r="K19" s="204">
        <f>data!J28</f>
        <v>12.399999999999999</v>
      </c>
      <c r="L19" s="197">
        <f>data!K28</f>
        <v>0.1</v>
      </c>
      <c r="M19" s="203">
        <f>data!L28</f>
        <v>19600</v>
      </c>
      <c r="N19" s="203">
        <f>data!M28</f>
        <v>13144</v>
      </c>
      <c r="O19" s="205">
        <f>data!P28</f>
        <v>1.4</v>
      </c>
      <c r="P19" s="205">
        <f>data!Q28</f>
        <v>0</v>
      </c>
      <c r="Q19" s="206">
        <f t="shared" ref="Q19:Q20" si="64">A19*C19</f>
        <v>0</v>
      </c>
      <c r="R19" s="207">
        <f t="shared" ref="R19:R20" si="65">A19*D19</f>
        <v>0</v>
      </c>
      <c r="S19" s="198">
        <f t="shared" ref="S19:S20" si="66">IF($A19=0,0,$A19*E19/$A19)</f>
        <v>0</v>
      </c>
      <c r="T19" s="198">
        <f t="shared" ref="T19:T20" si="67">IF($A19=0,0,$A19*F19/$A19)</f>
        <v>0</v>
      </c>
      <c r="U19" s="198">
        <f t="shared" ref="U19:U20" si="68">IF($A19=0,0,$A19*G19/$A19)</f>
        <v>0</v>
      </c>
      <c r="V19" s="198">
        <f t="shared" ref="V19:V20" si="69">IF($A19=0,0,$A19*H19/$A19)</f>
        <v>0</v>
      </c>
      <c r="W19" s="198">
        <f t="shared" ref="W19:W20" si="70">IF($A19=0,0,$A19*I19/$A19)</f>
        <v>0</v>
      </c>
      <c r="X19" s="198">
        <f t="shared" ref="X19:X20" si="71">IF($A19=0,0,$A19*J19/$A19)</f>
        <v>0</v>
      </c>
      <c r="Y19" s="198">
        <f t="shared" ref="Y19:Y20" si="72">IF($A19=0,0,$A19*K19/$A19)</f>
        <v>0</v>
      </c>
      <c r="Z19" s="198">
        <f t="shared" ref="Z19:Z20" si="73">IF($A19=0,0,$A19*L19/$A19)</f>
        <v>0</v>
      </c>
      <c r="AA19" s="198">
        <f t="shared" ref="AA19:AA20" si="74">IF($A19=0,0,$A19*M19)</f>
        <v>0</v>
      </c>
      <c r="AB19" s="198">
        <f t="shared" ref="AB19:AB20" si="75">IF($A19=0,0,$A19*N19)</f>
        <v>0</v>
      </c>
      <c r="AC19" s="198">
        <f t="shared" ref="AC19:AC20" si="76">IF($A19=0,0,O19)</f>
        <v>0</v>
      </c>
      <c r="AD19" s="198">
        <f t="shared" ref="AD19:AD20" si="77">IF($A19=0,0,$A19*P19)</f>
        <v>0</v>
      </c>
      <c r="AE19" s="198">
        <f t="shared" ref="AE19:AE20" si="78">IF(Q19=0,0,Q19/$Q$46)</f>
        <v>0</v>
      </c>
      <c r="AF19" s="218">
        <f t="shared" ref="AF19:AF20" si="79">Q19</f>
        <v>0</v>
      </c>
      <c r="AG19" s="219">
        <f t="shared" ref="AG19:AG20" si="80">R19</f>
        <v>0</v>
      </c>
      <c r="AH19" s="221">
        <f t="shared" ref="AH19:AH20" si="81">S19*$AE19</f>
        <v>0</v>
      </c>
      <c r="AI19" s="221">
        <f t="shared" ref="AI19:AI20" si="82">T19*$AE19</f>
        <v>0</v>
      </c>
      <c r="AJ19" s="221">
        <f t="shared" ref="AJ19:AJ20" si="83">U19*$AE19</f>
        <v>0</v>
      </c>
      <c r="AK19" s="221">
        <f t="shared" ref="AK19:AK20" si="84">V19*$AE19</f>
        <v>0</v>
      </c>
      <c r="AL19" s="221">
        <f t="shared" ref="AL19:AL20" si="85">W19*$AE19</f>
        <v>0</v>
      </c>
      <c r="AM19" s="221">
        <f t="shared" ref="AM19:AM20" si="86">X19*$AE19</f>
        <v>0</v>
      </c>
      <c r="AN19" s="221">
        <f t="shared" ref="AN19:AN20" si="87">Y19*$AE19</f>
        <v>0</v>
      </c>
      <c r="AO19" s="221">
        <f t="shared" ref="AO19:AO20" si="88">Z19*$AE19</f>
        <v>0</v>
      </c>
      <c r="AP19" s="220">
        <f t="shared" ref="AP19:AP20" si="89">AA19</f>
        <v>0</v>
      </c>
      <c r="AQ19" s="220">
        <f t="shared" ref="AQ19:AQ20" si="90">AB19</f>
        <v>0</v>
      </c>
      <c r="AR19" s="198">
        <f t="shared" ref="AR19:AR20" si="91">AC19*$AE19</f>
        <v>0</v>
      </c>
      <c r="AS19" s="198">
        <f t="shared" ref="AS19:AS20" si="92">AD19*$AE19</f>
        <v>0</v>
      </c>
    </row>
    <row r="20" spans="1:45">
      <c r="A20" s="240"/>
      <c r="B20" s="242" t="str">
        <f>data!A29</f>
        <v>MXZ-3C24NA (Ducted)</v>
      </c>
      <c r="C20" s="203">
        <f>data!B29</f>
        <v>23600</v>
      </c>
      <c r="D20" s="203">
        <f>data!C29</f>
        <v>24600</v>
      </c>
      <c r="E20" s="204">
        <f>data!D29</f>
        <v>3.8</v>
      </c>
      <c r="F20" s="204">
        <f>data!E29</f>
        <v>2.61</v>
      </c>
      <c r="G20" s="204">
        <f>data!F29</f>
        <v>2.4765570076723171</v>
      </c>
      <c r="H20" s="204">
        <f>data!G29</f>
        <v>3.2825322391559202</v>
      </c>
      <c r="I20" s="204">
        <f>data!H29</f>
        <v>4.6893317702227435</v>
      </c>
      <c r="J20" s="204">
        <f>data!I29</f>
        <v>16</v>
      </c>
      <c r="K20" s="204">
        <f>data!J29</f>
        <v>11.2</v>
      </c>
      <c r="L20" s="197">
        <f>data!K29</f>
        <v>0.1</v>
      </c>
      <c r="M20" s="203">
        <f>data!L29</f>
        <v>19600</v>
      </c>
      <c r="N20" s="203">
        <f>data!M29</f>
        <v>13038</v>
      </c>
      <c r="O20" s="205">
        <f>data!P29</f>
        <v>1.4</v>
      </c>
      <c r="P20" s="205">
        <f>data!Q29</f>
        <v>0</v>
      </c>
      <c r="Q20" s="206">
        <f t="shared" si="64"/>
        <v>0</v>
      </c>
      <c r="R20" s="207">
        <f t="shared" si="65"/>
        <v>0</v>
      </c>
      <c r="S20" s="198">
        <f t="shared" si="66"/>
        <v>0</v>
      </c>
      <c r="T20" s="198">
        <f t="shared" si="67"/>
        <v>0</v>
      </c>
      <c r="U20" s="198">
        <f t="shared" si="68"/>
        <v>0</v>
      </c>
      <c r="V20" s="198">
        <f t="shared" si="69"/>
        <v>0</v>
      </c>
      <c r="W20" s="198">
        <f t="shared" si="70"/>
        <v>0</v>
      </c>
      <c r="X20" s="198">
        <f t="shared" si="71"/>
        <v>0</v>
      </c>
      <c r="Y20" s="198">
        <f t="shared" si="72"/>
        <v>0</v>
      </c>
      <c r="Z20" s="198">
        <f t="shared" si="73"/>
        <v>0</v>
      </c>
      <c r="AA20" s="198">
        <f t="shared" si="74"/>
        <v>0</v>
      </c>
      <c r="AB20" s="198">
        <f t="shared" si="75"/>
        <v>0</v>
      </c>
      <c r="AC20" s="198">
        <f t="shared" si="76"/>
        <v>0</v>
      </c>
      <c r="AD20" s="198">
        <f t="shared" si="77"/>
        <v>0</v>
      </c>
      <c r="AE20" s="198">
        <f t="shared" si="78"/>
        <v>0</v>
      </c>
      <c r="AF20" s="218">
        <f t="shared" si="79"/>
        <v>0</v>
      </c>
      <c r="AG20" s="219">
        <f t="shared" si="80"/>
        <v>0</v>
      </c>
      <c r="AH20" s="221">
        <f t="shared" si="81"/>
        <v>0</v>
      </c>
      <c r="AI20" s="221">
        <f t="shared" si="82"/>
        <v>0</v>
      </c>
      <c r="AJ20" s="221">
        <f t="shared" si="83"/>
        <v>0</v>
      </c>
      <c r="AK20" s="221">
        <f t="shared" si="84"/>
        <v>0</v>
      </c>
      <c r="AL20" s="221">
        <f t="shared" si="85"/>
        <v>0</v>
      </c>
      <c r="AM20" s="221">
        <f t="shared" si="86"/>
        <v>0</v>
      </c>
      <c r="AN20" s="221">
        <f t="shared" si="87"/>
        <v>0</v>
      </c>
      <c r="AO20" s="221">
        <f t="shared" si="88"/>
        <v>0</v>
      </c>
      <c r="AP20" s="220">
        <f t="shared" si="89"/>
        <v>0</v>
      </c>
      <c r="AQ20" s="220">
        <f t="shared" si="90"/>
        <v>0</v>
      </c>
      <c r="AR20" s="198">
        <f t="shared" si="91"/>
        <v>0</v>
      </c>
      <c r="AS20" s="198">
        <f t="shared" si="92"/>
        <v>0</v>
      </c>
    </row>
    <row r="21" spans="1:45">
      <c r="A21" s="240"/>
      <c r="B21" s="242" t="str">
        <f>data!A30</f>
        <v>MXZ-3C30NA (non-ducted)</v>
      </c>
      <c r="C21" s="203">
        <f>data!B30</f>
        <v>28400</v>
      </c>
      <c r="D21" s="203">
        <f>data!C30</f>
        <v>28600</v>
      </c>
      <c r="E21" s="204">
        <f>data!D30</f>
        <v>3.9</v>
      </c>
      <c r="F21" s="204">
        <f>data!E30</f>
        <v>2.77</v>
      </c>
      <c r="G21" s="204">
        <f>data!F30</f>
        <v>2.6372078415390554</v>
      </c>
      <c r="H21" s="204">
        <f>data!G30</f>
        <v>3.1066822977725672</v>
      </c>
      <c r="I21" s="204">
        <f>data!H30</f>
        <v>5.5685814771395075</v>
      </c>
      <c r="J21" s="204">
        <f>data!I30</f>
        <v>19</v>
      </c>
      <c r="K21" s="204">
        <f>data!J30</f>
        <v>10.6</v>
      </c>
      <c r="L21" s="197">
        <f>data!K30</f>
        <v>0.1</v>
      </c>
      <c r="M21" s="203">
        <f>data!L30</f>
        <v>21000</v>
      </c>
      <c r="N21" s="203">
        <f>data!M30</f>
        <v>15730.000000000002</v>
      </c>
      <c r="O21" s="205">
        <f>data!P30</f>
        <v>1.4</v>
      </c>
      <c r="P21" s="205">
        <f>data!Q30</f>
        <v>0</v>
      </c>
      <c r="Q21" s="206">
        <f t="shared" si="5"/>
        <v>0</v>
      </c>
      <c r="R21" s="207">
        <f t="shared" si="6"/>
        <v>0</v>
      </c>
      <c r="S21" s="198">
        <f t="shared" si="7"/>
        <v>0</v>
      </c>
      <c r="T21" s="198">
        <f t="shared" si="8"/>
        <v>0</v>
      </c>
      <c r="U21" s="198">
        <f t="shared" si="9"/>
        <v>0</v>
      </c>
      <c r="V21" s="198">
        <f t="shared" si="10"/>
        <v>0</v>
      </c>
      <c r="W21" s="198">
        <f t="shared" si="11"/>
        <v>0</v>
      </c>
      <c r="X21" s="198">
        <f t="shared" si="12"/>
        <v>0</v>
      </c>
      <c r="Y21" s="198">
        <f t="shared" si="13"/>
        <v>0</v>
      </c>
      <c r="Z21" s="198">
        <f t="shared" si="14"/>
        <v>0</v>
      </c>
      <c r="AA21" s="198">
        <f t="shared" si="15"/>
        <v>0</v>
      </c>
      <c r="AB21" s="198">
        <f t="shared" si="16"/>
        <v>0</v>
      </c>
      <c r="AC21" s="198">
        <f t="shared" si="17"/>
        <v>0</v>
      </c>
      <c r="AD21" s="198">
        <f t="shared" si="18"/>
        <v>0</v>
      </c>
      <c r="AE21" s="198">
        <f>IF(Q21=0,0,Q21/$Q$46)</f>
        <v>0</v>
      </c>
      <c r="AF21" s="218">
        <f t="shared" si="19"/>
        <v>0</v>
      </c>
      <c r="AG21" s="219">
        <f t="shared" si="19"/>
        <v>0</v>
      </c>
      <c r="AH21" s="221">
        <f t="shared" si="4"/>
        <v>0</v>
      </c>
      <c r="AI21" s="221">
        <f t="shared" si="4"/>
        <v>0</v>
      </c>
      <c r="AJ21" s="221">
        <f t="shared" si="4"/>
        <v>0</v>
      </c>
      <c r="AK21" s="221">
        <f t="shared" si="4"/>
        <v>0</v>
      </c>
      <c r="AL21" s="221">
        <f t="shared" si="4"/>
        <v>0</v>
      </c>
      <c r="AM21" s="221">
        <f t="shared" si="4"/>
        <v>0</v>
      </c>
      <c r="AN21" s="221">
        <f t="shared" si="4"/>
        <v>0</v>
      </c>
      <c r="AO21" s="221">
        <f t="shared" si="4"/>
        <v>0</v>
      </c>
      <c r="AP21" s="220">
        <f t="shared" si="20"/>
        <v>0</v>
      </c>
      <c r="AQ21" s="220">
        <f t="shared" si="20"/>
        <v>0</v>
      </c>
      <c r="AR21" s="198">
        <f t="shared" si="4"/>
        <v>0</v>
      </c>
      <c r="AS21" s="198">
        <f t="shared" si="4"/>
        <v>0</v>
      </c>
    </row>
    <row r="22" spans="1:45">
      <c r="A22" s="240"/>
      <c r="B22" s="242" t="str">
        <f>data!A31</f>
        <v>MXZ-3C30NA (Mixed)</v>
      </c>
      <c r="C22" s="203">
        <f>data!B31</f>
        <v>27900</v>
      </c>
      <c r="D22" s="203">
        <f>data!C31</f>
        <v>28100</v>
      </c>
      <c r="E22" s="204">
        <f>data!D31</f>
        <v>3.77</v>
      </c>
      <c r="F22" s="204">
        <f>data!E31</f>
        <v>2.7749999999999999</v>
      </c>
      <c r="G22" s="204">
        <f>data!F31</f>
        <v>2.6419681445021221</v>
      </c>
      <c r="H22" s="204">
        <f>data!G31</f>
        <v>2.9601406799531063</v>
      </c>
      <c r="I22" s="204">
        <f>data!H31</f>
        <v>5.1582649472450175</v>
      </c>
      <c r="J22" s="204">
        <f>data!I31</f>
        <v>17.600000000000001</v>
      </c>
      <c r="K22" s="204">
        <f>data!J31</f>
        <v>10.1</v>
      </c>
      <c r="L22" s="197">
        <f>data!K31</f>
        <v>0.1</v>
      </c>
      <c r="M22" s="203">
        <f>data!L31</f>
        <v>21000</v>
      </c>
      <c r="N22" s="203">
        <f>data!M31</f>
        <v>15455.000000000002</v>
      </c>
      <c r="O22" s="205">
        <f>data!P31</f>
        <v>1.4</v>
      </c>
      <c r="P22" s="205">
        <f>data!Q31</f>
        <v>0</v>
      </c>
      <c r="Q22" s="206">
        <f t="shared" ref="Q22:Q23" si="93">A22*C22</f>
        <v>0</v>
      </c>
      <c r="R22" s="207">
        <f t="shared" ref="R22:R23" si="94">A22*D22</f>
        <v>0</v>
      </c>
      <c r="S22" s="198">
        <f t="shared" ref="S22:S23" si="95">IF($A22=0,0,$A22*E22/$A22)</f>
        <v>0</v>
      </c>
      <c r="T22" s="198">
        <f t="shared" ref="T22:T23" si="96">IF($A22=0,0,$A22*F22/$A22)</f>
        <v>0</v>
      </c>
      <c r="U22" s="198">
        <f t="shared" ref="U22:U23" si="97">IF($A22=0,0,$A22*G22/$A22)</f>
        <v>0</v>
      </c>
      <c r="V22" s="198">
        <f t="shared" ref="V22:V23" si="98">IF($A22=0,0,$A22*H22/$A22)</f>
        <v>0</v>
      </c>
      <c r="W22" s="198">
        <f t="shared" ref="W22:W23" si="99">IF($A22=0,0,$A22*I22/$A22)</f>
        <v>0</v>
      </c>
      <c r="X22" s="198">
        <f t="shared" ref="X22:X23" si="100">IF($A22=0,0,$A22*J22/$A22)</f>
        <v>0</v>
      </c>
      <c r="Y22" s="198">
        <f t="shared" ref="Y22:Y23" si="101">IF($A22=0,0,$A22*K22/$A22)</f>
        <v>0</v>
      </c>
      <c r="Z22" s="198">
        <f t="shared" ref="Z22:Z23" si="102">IF($A22=0,0,$A22*L22/$A22)</f>
        <v>0</v>
      </c>
      <c r="AA22" s="198">
        <f t="shared" ref="AA22:AA23" si="103">IF($A22=0,0,$A22*M22)</f>
        <v>0</v>
      </c>
      <c r="AB22" s="198">
        <f t="shared" ref="AB22:AB23" si="104">IF($A22=0,0,$A22*N22)</f>
        <v>0</v>
      </c>
      <c r="AC22" s="198">
        <f t="shared" ref="AC22:AC23" si="105">IF($A22=0,0,O22)</f>
        <v>0</v>
      </c>
      <c r="AD22" s="198">
        <f t="shared" ref="AD22:AD23" si="106">IF($A22=0,0,$A22*P22)</f>
        <v>0</v>
      </c>
      <c r="AE22" s="198">
        <f t="shared" ref="AE22:AE23" si="107">IF(Q22=0,0,Q22/$Q$46)</f>
        <v>0</v>
      </c>
      <c r="AF22" s="218">
        <f t="shared" ref="AF22:AF23" si="108">Q22</f>
        <v>0</v>
      </c>
      <c r="AG22" s="219">
        <f t="shared" ref="AG22:AG23" si="109">R22</f>
        <v>0</v>
      </c>
      <c r="AH22" s="221">
        <f t="shared" ref="AH22:AH23" si="110">S22*$AE22</f>
        <v>0</v>
      </c>
      <c r="AI22" s="221">
        <f t="shared" ref="AI22:AI23" si="111">T22*$AE22</f>
        <v>0</v>
      </c>
      <c r="AJ22" s="221">
        <f t="shared" ref="AJ22:AJ23" si="112">U22*$AE22</f>
        <v>0</v>
      </c>
      <c r="AK22" s="221">
        <f t="shared" ref="AK22:AK23" si="113">V22*$AE22</f>
        <v>0</v>
      </c>
      <c r="AL22" s="221">
        <f t="shared" ref="AL22:AL23" si="114">W22*$AE22</f>
        <v>0</v>
      </c>
      <c r="AM22" s="221">
        <f t="shared" ref="AM22:AM23" si="115">X22*$AE22</f>
        <v>0</v>
      </c>
      <c r="AN22" s="221">
        <f t="shared" ref="AN22:AN23" si="116">Y22*$AE22</f>
        <v>0</v>
      </c>
      <c r="AO22" s="221">
        <f t="shared" ref="AO22:AO23" si="117">Z22*$AE22</f>
        <v>0</v>
      </c>
      <c r="AP22" s="220">
        <f t="shared" ref="AP22:AP23" si="118">AA22</f>
        <v>0</v>
      </c>
      <c r="AQ22" s="220">
        <f t="shared" ref="AQ22:AQ23" si="119">AB22</f>
        <v>0</v>
      </c>
      <c r="AR22" s="198">
        <f t="shared" ref="AR22:AR23" si="120">AC22*$AE22</f>
        <v>0</v>
      </c>
      <c r="AS22" s="198">
        <f t="shared" ref="AS22:AS23" si="121">AD22*$AE22</f>
        <v>0</v>
      </c>
    </row>
    <row r="23" spans="1:45">
      <c r="A23" s="240"/>
      <c r="B23" s="242" t="str">
        <f>data!A32</f>
        <v>MXZ-3C30NA (Ducted)</v>
      </c>
      <c r="C23" s="203">
        <f>data!B32</f>
        <v>27400</v>
      </c>
      <c r="D23" s="203">
        <f>data!C32</f>
        <v>27600</v>
      </c>
      <c r="E23" s="204">
        <f>data!D32</f>
        <v>3.64</v>
      </c>
      <c r="F23" s="204">
        <f>data!E32</f>
        <v>2.78</v>
      </c>
      <c r="G23" s="204">
        <f>data!F32</f>
        <v>2.6467284474651889</v>
      </c>
      <c r="H23" s="204">
        <f>data!G32</f>
        <v>2.8135990621336457</v>
      </c>
      <c r="I23" s="204">
        <f>data!H32</f>
        <v>4.7479484173505275</v>
      </c>
      <c r="J23" s="204">
        <f>data!I32</f>
        <v>16.2</v>
      </c>
      <c r="K23" s="204">
        <f>data!J32</f>
        <v>9.6</v>
      </c>
      <c r="L23" s="197">
        <f>data!K32</f>
        <v>0.1</v>
      </c>
      <c r="M23" s="203">
        <f>data!L32</f>
        <v>21000</v>
      </c>
      <c r="N23" s="203">
        <f>data!M32</f>
        <v>15180.000000000002</v>
      </c>
      <c r="O23" s="205">
        <f>data!P32</f>
        <v>1.4</v>
      </c>
      <c r="P23" s="205">
        <f>data!Q32</f>
        <v>0</v>
      </c>
      <c r="Q23" s="206">
        <f t="shared" si="93"/>
        <v>0</v>
      </c>
      <c r="R23" s="207">
        <f t="shared" si="94"/>
        <v>0</v>
      </c>
      <c r="S23" s="198">
        <f t="shared" si="95"/>
        <v>0</v>
      </c>
      <c r="T23" s="198">
        <f t="shared" si="96"/>
        <v>0</v>
      </c>
      <c r="U23" s="198">
        <f t="shared" si="97"/>
        <v>0</v>
      </c>
      <c r="V23" s="198">
        <f t="shared" si="98"/>
        <v>0</v>
      </c>
      <c r="W23" s="198">
        <f t="shared" si="99"/>
        <v>0</v>
      </c>
      <c r="X23" s="198">
        <f t="shared" si="100"/>
        <v>0</v>
      </c>
      <c r="Y23" s="198">
        <f t="shared" si="101"/>
        <v>0</v>
      </c>
      <c r="Z23" s="198">
        <f t="shared" si="102"/>
        <v>0</v>
      </c>
      <c r="AA23" s="198">
        <f t="shared" si="103"/>
        <v>0</v>
      </c>
      <c r="AB23" s="198">
        <f t="shared" si="104"/>
        <v>0</v>
      </c>
      <c r="AC23" s="198">
        <f t="shared" si="105"/>
        <v>0</v>
      </c>
      <c r="AD23" s="198">
        <f t="shared" si="106"/>
        <v>0</v>
      </c>
      <c r="AE23" s="198">
        <f t="shared" si="107"/>
        <v>0</v>
      </c>
      <c r="AF23" s="218">
        <f t="shared" si="108"/>
        <v>0</v>
      </c>
      <c r="AG23" s="219">
        <f t="shared" si="109"/>
        <v>0</v>
      </c>
      <c r="AH23" s="221">
        <f t="shared" si="110"/>
        <v>0</v>
      </c>
      <c r="AI23" s="221">
        <f t="shared" si="111"/>
        <v>0</v>
      </c>
      <c r="AJ23" s="221">
        <f t="shared" si="112"/>
        <v>0</v>
      </c>
      <c r="AK23" s="221">
        <f t="shared" si="113"/>
        <v>0</v>
      </c>
      <c r="AL23" s="221">
        <f t="shared" si="114"/>
        <v>0</v>
      </c>
      <c r="AM23" s="221">
        <f t="shared" si="115"/>
        <v>0</v>
      </c>
      <c r="AN23" s="221">
        <f t="shared" si="116"/>
        <v>0</v>
      </c>
      <c r="AO23" s="221">
        <f t="shared" si="117"/>
        <v>0</v>
      </c>
      <c r="AP23" s="220">
        <f t="shared" si="118"/>
        <v>0</v>
      </c>
      <c r="AQ23" s="220">
        <f t="shared" si="119"/>
        <v>0</v>
      </c>
      <c r="AR23" s="198">
        <f t="shared" si="120"/>
        <v>0</v>
      </c>
      <c r="AS23" s="198">
        <f t="shared" si="121"/>
        <v>0</v>
      </c>
    </row>
    <row r="24" spans="1:45">
      <c r="A24" s="240">
        <v>1</v>
      </c>
      <c r="B24" s="242" t="str">
        <f>data!A33</f>
        <v>MXZ-4C36NA (non-ducted)</v>
      </c>
      <c r="C24" s="203">
        <f>data!B33</f>
        <v>35400</v>
      </c>
      <c r="D24" s="203">
        <f>data!C33</f>
        <v>36000</v>
      </c>
      <c r="E24" s="204">
        <f>data!D33</f>
        <v>3.5</v>
      </c>
      <c r="F24" s="204">
        <f>data!E33</f>
        <v>2.67</v>
      </c>
      <c r="G24" s="204">
        <f>data!F33</f>
        <v>2.543127572650369</v>
      </c>
      <c r="H24" s="204">
        <f>data!G33</f>
        <v>2.7549824150058617</v>
      </c>
      <c r="I24" s="204">
        <f>data!H33</f>
        <v>5.6271981242672915</v>
      </c>
      <c r="J24" s="204">
        <f>data!I33</f>
        <v>19.2</v>
      </c>
      <c r="K24" s="204">
        <f>data!J33</f>
        <v>9.4</v>
      </c>
      <c r="L24" s="197">
        <f>data!K33</f>
        <v>0.1</v>
      </c>
      <c r="M24" s="203">
        <f>data!L33</f>
        <v>26600</v>
      </c>
      <c r="N24" s="203">
        <f>data!M33</f>
        <v>18720</v>
      </c>
      <c r="O24" s="205">
        <f>data!P33</f>
        <v>1.4</v>
      </c>
      <c r="P24" s="205">
        <f>data!Q33</f>
        <v>0</v>
      </c>
      <c r="Q24" s="206">
        <f t="shared" si="5"/>
        <v>35400</v>
      </c>
      <c r="R24" s="207">
        <f t="shared" si="6"/>
        <v>36000</v>
      </c>
      <c r="S24" s="198">
        <f t="shared" si="7"/>
        <v>3.5</v>
      </c>
      <c r="T24" s="198">
        <f t="shared" si="8"/>
        <v>2.67</v>
      </c>
      <c r="U24" s="198">
        <f t="shared" si="9"/>
        <v>2.543127572650369</v>
      </c>
      <c r="V24" s="198">
        <f t="shared" si="10"/>
        <v>2.7549824150058617</v>
      </c>
      <c r="W24" s="198">
        <f t="shared" si="11"/>
        <v>5.6271981242672915</v>
      </c>
      <c r="X24" s="198">
        <f t="shared" si="12"/>
        <v>19.2</v>
      </c>
      <c r="Y24" s="198">
        <f t="shared" si="13"/>
        <v>9.4</v>
      </c>
      <c r="Z24" s="198">
        <f t="shared" si="14"/>
        <v>0.1</v>
      </c>
      <c r="AA24" s="198">
        <f t="shared" si="15"/>
        <v>26600</v>
      </c>
      <c r="AB24" s="198">
        <f t="shared" si="16"/>
        <v>18720</v>
      </c>
      <c r="AC24" s="198">
        <f t="shared" si="17"/>
        <v>1.4</v>
      </c>
      <c r="AD24" s="198">
        <f t="shared" si="18"/>
        <v>0</v>
      </c>
      <c r="AE24" s="198">
        <f>IF(Q24=0,0,Q24/$Q$46)</f>
        <v>0.7165991902834008</v>
      </c>
      <c r="AF24" s="218">
        <f t="shared" si="19"/>
        <v>35400</v>
      </c>
      <c r="AG24" s="219">
        <f t="shared" si="19"/>
        <v>36000</v>
      </c>
      <c r="AH24" s="221">
        <f t="shared" si="4"/>
        <v>2.5080971659919027</v>
      </c>
      <c r="AI24" s="221">
        <f t="shared" si="4"/>
        <v>1.91331983805668</v>
      </c>
      <c r="AJ24" s="221">
        <f t="shared" si="4"/>
        <v>1.8224031593486449</v>
      </c>
      <c r="AK24" s="221">
        <f t="shared" si="4"/>
        <v>1.9742181678382085</v>
      </c>
      <c r="AL24" s="221">
        <f t="shared" si="4"/>
        <v>4.0324456194142133</v>
      </c>
      <c r="AM24" s="221">
        <f t="shared" si="4"/>
        <v>13.758704453441295</v>
      </c>
      <c r="AN24" s="221">
        <f t="shared" si="4"/>
        <v>6.7360323886639675</v>
      </c>
      <c r="AO24" s="221">
        <f t="shared" si="4"/>
        <v>7.1659919028340083E-2</v>
      </c>
      <c r="AP24" s="220">
        <f t="shared" si="20"/>
        <v>26600</v>
      </c>
      <c r="AQ24" s="220">
        <f t="shared" si="20"/>
        <v>18720</v>
      </c>
      <c r="AR24" s="198">
        <f>AC24*$AE24</f>
        <v>1.0032388663967611</v>
      </c>
      <c r="AS24" s="198">
        <f t="shared" si="4"/>
        <v>0</v>
      </c>
    </row>
    <row r="25" spans="1:45">
      <c r="A25" s="240"/>
      <c r="B25" s="242" t="str">
        <f>data!A34</f>
        <v>MXZ-4C36NA (Mixed)</v>
      </c>
      <c r="C25" s="203">
        <f>data!B34</f>
        <v>34900</v>
      </c>
      <c r="D25" s="203">
        <f>data!C34</f>
        <v>35200</v>
      </c>
      <c r="E25" s="204">
        <f>data!D34</f>
        <v>3.375</v>
      </c>
      <c r="F25" s="204">
        <f>data!E34</f>
        <v>2.605</v>
      </c>
      <c r="G25" s="204">
        <f>data!F34</f>
        <v>2.4812162272487681</v>
      </c>
      <c r="H25" s="204">
        <f>data!G34</f>
        <v>2.652403282532239</v>
      </c>
      <c r="I25" s="204">
        <f>data!H34</f>
        <v>5.1582649472450175</v>
      </c>
      <c r="J25" s="204">
        <f>data!I34</f>
        <v>17.600000000000001</v>
      </c>
      <c r="K25" s="204">
        <f>data!J34</f>
        <v>9.0500000000000007</v>
      </c>
      <c r="L25" s="197">
        <f>data!K34</f>
        <v>0.1</v>
      </c>
      <c r="M25" s="203">
        <f>data!L34</f>
        <v>26600</v>
      </c>
      <c r="N25" s="203">
        <f>data!M34</f>
        <v>18304</v>
      </c>
      <c r="O25" s="205">
        <f>data!P34</f>
        <v>1.4</v>
      </c>
      <c r="P25" s="205">
        <f>data!Q34</f>
        <v>0</v>
      </c>
      <c r="Q25" s="206">
        <f t="shared" ref="Q25:Q26" si="122">A25*C25</f>
        <v>0</v>
      </c>
      <c r="R25" s="207">
        <f t="shared" ref="R25:R26" si="123">A25*D25</f>
        <v>0</v>
      </c>
      <c r="S25" s="198">
        <f t="shared" ref="S25:S26" si="124">IF($A25=0,0,$A25*E25/$A25)</f>
        <v>0</v>
      </c>
      <c r="T25" s="198">
        <f t="shared" ref="T25:T26" si="125">IF($A25=0,0,$A25*F25/$A25)</f>
        <v>0</v>
      </c>
      <c r="U25" s="198">
        <f t="shared" ref="U25:U26" si="126">IF($A25=0,0,$A25*G25/$A25)</f>
        <v>0</v>
      </c>
      <c r="V25" s="198">
        <f t="shared" ref="V25:V26" si="127">IF($A25=0,0,$A25*H25/$A25)</f>
        <v>0</v>
      </c>
      <c r="W25" s="198">
        <f t="shared" ref="W25:W26" si="128">IF($A25=0,0,$A25*I25/$A25)</f>
        <v>0</v>
      </c>
      <c r="X25" s="198">
        <f t="shared" ref="X25:X26" si="129">IF($A25=0,0,$A25*J25/$A25)</f>
        <v>0</v>
      </c>
      <c r="Y25" s="198">
        <f t="shared" ref="Y25:Y26" si="130">IF($A25=0,0,$A25*K25/$A25)</f>
        <v>0</v>
      </c>
      <c r="Z25" s="198">
        <f t="shared" ref="Z25:Z26" si="131">IF($A25=0,0,$A25*L25/$A25)</f>
        <v>0</v>
      </c>
      <c r="AA25" s="198">
        <f t="shared" ref="AA25:AA26" si="132">IF($A25=0,0,$A25*M25)</f>
        <v>0</v>
      </c>
      <c r="AB25" s="198">
        <f t="shared" ref="AB25:AB26" si="133">IF($A25=0,0,$A25*N25)</f>
        <v>0</v>
      </c>
      <c r="AC25" s="198">
        <f t="shared" ref="AC25:AC26" si="134">IF($A25=0,0,O25)</f>
        <v>0</v>
      </c>
      <c r="AD25" s="198">
        <f t="shared" ref="AD25:AD26" si="135">IF($A25=0,0,$A25*P25)</f>
        <v>0</v>
      </c>
      <c r="AE25" s="198">
        <f t="shared" ref="AE25:AE26" si="136">IF(Q25=0,0,Q25/$Q$46)</f>
        <v>0</v>
      </c>
      <c r="AF25" s="218">
        <f t="shared" ref="AF25:AF26" si="137">Q25</f>
        <v>0</v>
      </c>
      <c r="AG25" s="219">
        <f t="shared" ref="AG25:AG26" si="138">R25</f>
        <v>0</v>
      </c>
      <c r="AH25" s="221">
        <f t="shared" ref="AH25:AH26" si="139">S25*$AE25</f>
        <v>0</v>
      </c>
      <c r="AI25" s="221">
        <f t="shared" ref="AI25:AI26" si="140">T25*$AE25</f>
        <v>0</v>
      </c>
      <c r="AJ25" s="221">
        <f t="shared" ref="AJ25:AJ26" si="141">U25*$AE25</f>
        <v>0</v>
      </c>
      <c r="AK25" s="221">
        <f t="shared" ref="AK25:AK26" si="142">V25*$AE25</f>
        <v>0</v>
      </c>
      <c r="AL25" s="221">
        <f t="shared" ref="AL25:AL26" si="143">W25*$AE25</f>
        <v>0</v>
      </c>
      <c r="AM25" s="221">
        <f t="shared" ref="AM25:AM26" si="144">X25*$AE25</f>
        <v>0</v>
      </c>
      <c r="AN25" s="221">
        <f t="shared" ref="AN25:AN26" si="145">Y25*$AE25</f>
        <v>0</v>
      </c>
      <c r="AO25" s="221">
        <f t="shared" ref="AO25:AO26" si="146">Z25*$AE25</f>
        <v>0</v>
      </c>
      <c r="AP25" s="220">
        <f t="shared" ref="AP25:AP26" si="147">AA25</f>
        <v>0</v>
      </c>
      <c r="AQ25" s="220">
        <f t="shared" ref="AQ25:AQ26" si="148">AB25</f>
        <v>0</v>
      </c>
      <c r="AR25" s="198">
        <f t="shared" ref="AR25:AR26" si="149">AC25*$AE25</f>
        <v>0</v>
      </c>
      <c r="AS25" s="198">
        <f t="shared" ref="AS25:AS26" si="150">AD25*$AE25</f>
        <v>0</v>
      </c>
    </row>
    <row r="26" spans="1:45">
      <c r="A26" s="240"/>
      <c r="B26" s="242" t="str">
        <f>data!A35</f>
        <v>MXZ-4C36NA (Ducted)</v>
      </c>
      <c r="C26" s="203">
        <f>data!B35</f>
        <v>34400</v>
      </c>
      <c r="D26" s="203">
        <f>data!C35</f>
        <v>34400</v>
      </c>
      <c r="E26" s="204">
        <f>data!D35</f>
        <v>3.25</v>
      </c>
      <c r="F26" s="204">
        <f>data!E35</f>
        <v>2.54</v>
      </c>
      <c r="G26" s="204">
        <f>data!F35</f>
        <v>2.4193048818471676</v>
      </c>
      <c r="H26" s="204">
        <f>data!G35</f>
        <v>2.5498241500586163</v>
      </c>
      <c r="I26" s="204">
        <f>data!H35</f>
        <v>4.6893317702227435</v>
      </c>
      <c r="J26" s="204">
        <f>data!I35</f>
        <v>16</v>
      </c>
      <c r="K26" s="204">
        <f>data!J35</f>
        <v>8.6999999999999993</v>
      </c>
      <c r="L26" s="197">
        <f>data!K35</f>
        <v>0.1</v>
      </c>
      <c r="M26" s="203">
        <f>data!L35</f>
        <v>26600</v>
      </c>
      <c r="N26" s="203">
        <f>data!M35</f>
        <v>17888</v>
      </c>
      <c r="O26" s="205">
        <f>data!P35</f>
        <v>1.4</v>
      </c>
      <c r="P26" s="205">
        <f>data!Q35</f>
        <v>0</v>
      </c>
      <c r="Q26" s="206">
        <f t="shared" si="122"/>
        <v>0</v>
      </c>
      <c r="R26" s="207">
        <f t="shared" si="123"/>
        <v>0</v>
      </c>
      <c r="S26" s="198">
        <f t="shared" si="124"/>
        <v>0</v>
      </c>
      <c r="T26" s="198">
        <f t="shared" si="125"/>
        <v>0</v>
      </c>
      <c r="U26" s="198">
        <f t="shared" si="126"/>
        <v>0</v>
      </c>
      <c r="V26" s="198">
        <f t="shared" si="127"/>
        <v>0</v>
      </c>
      <c r="W26" s="198">
        <f t="shared" si="128"/>
        <v>0</v>
      </c>
      <c r="X26" s="198">
        <f t="shared" si="129"/>
        <v>0</v>
      </c>
      <c r="Y26" s="198">
        <f t="shared" si="130"/>
        <v>0</v>
      </c>
      <c r="Z26" s="198">
        <f t="shared" si="131"/>
        <v>0</v>
      </c>
      <c r="AA26" s="198">
        <f t="shared" si="132"/>
        <v>0</v>
      </c>
      <c r="AB26" s="198">
        <f t="shared" si="133"/>
        <v>0</v>
      </c>
      <c r="AC26" s="198">
        <f t="shared" si="134"/>
        <v>0</v>
      </c>
      <c r="AD26" s="198">
        <f t="shared" si="135"/>
        <v>0</v>
      </c>
      <c r="AE26" s="198">
        <f t="shared" si="136"/>
        <v>0</v>
      </c>
      <c r="AF26" s="218">
        <f t="shared" si="137"/>
        <v>0</v>
      </c>
      <c r="AG26" s="219">
        <f t="shared" si="138"/>
        <v>0</v>
      </c>
      <c r="AH26" s="221">
        <f t="shared" si="139"/>
        <v>0</v>
      </c>
      <c r="AI26" s="221">
        <f t="shared" si="140"/>
        <v>0</v>
      </c>
      <c r="AJ26" s="221">
        <f t="shared" si="141"/>
        <v>0</v>
      </c>
      <c r="AK26" s="221">
        <f t="shared" si="142"/>
        <v>0</v>
      </c>
      <c r="AL26" s="221">
        <f t="shared" si="143"/>
        <v>0</v>
      </c>
      <c r="AM26" s="221">
        <f t="shared" si="144"/>
        <v>0</v>
      </c>
      <c r="AN26" s="221">
        <f t="shared" si="145"/>
        <v>0</v>
      </c>
      <c r="AO26" s="221">
        <f t="shared" si="146"/>
        <v>0</v>
      </c>
      <c r="AP26" s="220">
        <f t="shared" si="147"/>
        <v>0</v>
      </c>
      <c r="AQ26" s="220">
        <f t="shared" si="148"/>
        <v>0</v>
      </c>
      <c r="AR26" s="198">
        <f t="shared" si="149"/>
        <v>0</v>
      </c>
      <c r="AS26" s="198">
        <f t="shared" si="150"/>
        <v>0</v>
      </c>
    </row>
    <row r="27" spans="1:45">
      <c r="A27" s="240"/>
      <c r="B27" s="242" t="str">
        <f>data!A36</f>
        <v>MXZ-5C42NA (non-ducted)</v>
      </c>
      <c r="C27" s="203">
        <f>data!B36</f>
        <v>40500</v>
      </c>
      <c r="D27" s="203">
        <f>data!C36</f>
        <v>45000</v>
      </c>
      <c r="E27" s="204">
        <f>data!D36</f>
        <v>3.69</v>
      </c>
      <c r="F27" s="204">
        <f>data!E36</f>
        <v>2.4300000000000002</v>
      </c>
      <c r="G27" s="204">
        <f>data!F36</f>
        <v>2.3267836636164336</v>
      </c>
      <c r="H27" s="204">
        <f>data!G36</f>
        <v>2.6963657678780772</v>
      </c>
      <c r="I27" s="204">
        <f>data!H36</f>
        <v>5.7737397420867529</v>
      </c>
      <c r="J27" s="204">
        <f>data!I36</f>
        <v>19.7</v>
      </c>
      <c r="K27" s="204">
        <f>data!J36</f>
        <v>9.1999999999999993</v>
      </c>
      <c r="L27" s="197">
        <f>data!K36</f>
        <v>0.1</v>
      </c>
      <c r="M27" s="203">
        <f>data!L36</f>
        <v>30500</v>
      </c>
      <c r="N27" s="203">
        <f>data!M36</f>
        <v>23400</v>
      </c>
      <c r="O27" s="205">
        <f>data!P36</f>
        <v>1.4</v>
      </c>
      <c r="P27" s="205">
        <f>data!Q36</f>
        <v>0</v>
      </c>
      <c r="Q27" s="206">
        <f t="shared" si="5"/>
        <v>0</v>
      </c>
      <c r="R27" s="207">
        <f t="shared" si="6"/>
        <v>0</v>
      </c>
      <c r="S27" s="198">
        <f t="shared" si="7"/>
        <v>0</v>
      </c>
      <c r="T27" s="198">
        <f t="shared" si="8"/>
        <v>0</v>
      </c>
      <c r="U27" s="198">
        <f t="shared" si="9"/>
        <v>0</v>
      </c>
      <c r="V27" s="198">
        <f t="shared" si="10"/>
        <v>0</v>
      </c>
      <c r="W27" s="198">
        <f t="shared" si="11"/>
        <v>0</v>
      </c>
      <c r="X27" s="198">
        <f t="shared" si="12"/>
        <v>0</v>
      </c>
      <c r="Y27" s="198">
        <f t="shared" si="13"/>
        <v>0</v>
      </c>
      <c r="Z27" s="198">
        <f t="shared" si="14"/>
        <v>0</v>
      </c>
      <c r="AA27" s="198">
        <f t="shared" si="15"/>
        <v>0</v>
      </c>
      <c r="AB27" s="198">
        <f t="shared" si="16"/>
        <v>0</v>
      </c>
      <c r="AC27" s="198">
        <f t="shared" si="17"/>
        <v>0</v>
      </c>
      <c r="AD27" s="198">
        <f t="shared" si="18"/>
        <v>0</v>
      </c>
      <c r="AE27" s="198">
        <f>IF(Q27=0,0,Q27/$Q$46)</f>
        <v>0</v>
      </c>
      <c r="AF27" s="218">
        <f t="shared" si="19"/>
        <v>0</v>
      </c>
      <c r="AG27" s="219">
        <f t="shared" si="19"/>
        <v>0</v>
      </c>
      <c r="AH27" s="221">
        <f t="shared" ref="AH27:AH30" si="151">S27*$AE27</f>
        <v>0</v>
      </c>
      <c r="AI27" s="221">
        <f t="shared" ref="AI27:AI30" si="152">T27*$AE27</f>
        <v>0</v>
      </c>
      <c r="AJ27" s="221">
        <f t="shared" ref="AJ27:AJ30" si="153">U27*$AE27</f>
        <v>0</v>
      </c>
      <c r="AK27" s="221">
        <f t="shared" ref="AK27:AK30" si="154">V27*$AE27</f>
        <v>0</v>
      </c>
      <c r="AL27" s="221">
        <f t="shared" ref="AL27:AL30" si="155">W27*$AE27</f>
        <v>0</v>
      </c>
      <c r="AM27" s="221">
        <f t="shared" ref="AM27:AM30" si="156">X27*$AE27</f>
        <v>0</v>
      </c>
      <c r="AN27" s="221">
        <f t="shared" ref="AN27:AN30" si="157">Y27*$AE27</f>
        <v>0</v>
      </c>
      <c r="AO27" s="221">
        <f t="shared" ref="AO27:AO30" si="158">Z27*$AE27</f>
        <v>0</v>
      </c>
      <c r="AP27" s="220">
        <f t="shared" si="20"/>
        <v>0</v>
      </c>
      <c r="AQ27" s="220">
        <f t="shared" si="20"/>
        <v>0</v>
      </c>
      <c r="AR27" s="198">
        <f t="shared" ref="AR27:AR30" si="159">AC27*$AE27</f>
        <v>0</v>
      </c>
      <c r="AS27" s="198">
        <f t="shared" ref="AS27:AS30" si="160">AD27*$AE27</f>
        <v>0</v>
      </c>
    </row>
    <row r="28" spans="1:45">
      <c r="A28" s="435"/>
      <c r="B28" s="242" t="str">
        <f>data!A37</f>
        <v>MXZ-5C42NA (Mixed)</v>
      </c>
      <c r="C28" s="203">
        <f>data!B37</f>
        <v>39000</v>
      </c>
      <c r="D28" s="203">
        <f>data!C37</f>
        <v>43000</v>
      </c>
      <c r="E28" s="204">
        <f>data!D37</f>
        <v>3.58</v>
      </c>
      <c r="F28" s="204">
        <f>data!E37</f>
        <v>2.39</v>
      </c>
      <c r="G28" s="204">
        <f>data!F37</f>
        <v>2.288482697960196</v>
      </c>
      <c r="H28" s="204">
        <f>data!G37</f>
        <v>2.6670574443141852</v>
      </c>
      <c r="I28" s="204">
        <f>data!H37</f>
        <v>5.1143024618991788</v>
      </c>
      <c r="J28" s="204">
        <f>data!I37</f>
        <v>17.45</v>
      </c>
      <c r="K28" s="204">
        <f>data!J37</f>
        <v>9.1</v>
      </c>
      <c r="L28" s="197">
        <f>data!K37</f>
        <v>0.1</v>
      </c>
      <c r="M28" s="203">
        <f>data!L37</f>
        <v>29800</v>
      </c>
      <c r="N28" s="203">
        <f>data!M37</f>
        <v>22360</v>
      </c>
      <c r="O28" s="205">
        <f>data!P37</f>
        <v>1.4</v>
      </c>
      <c r="P28" s="205">
        <f>data!Q37</f>
        <v>0</v>
      </c>
      <c r="Q28" s="206">
        <f t="shared" ref="Q28:Q29" si="161">A28*C28</f>
        <v>0</v>
      </c>
      <c r="R28" s="207">
        <f t="shared" ref="R28:R29" si="162">A28*D28</f>
        <v>0</v>
      </c>
      <c r="S28" s="198">
        <f t="shared" ref="S28:S29" si="163">IF($A28=0,0,$A28*E28/$A28)</f>
        <v>0</v>
      </c>
      <c r="T28" s="198">
        <f t="shared" ref="T28:T29" si="164">IF($A28=0,0,$A28*F28/$A28)</f>
        <v>0</v>
      </c>
      <c r="U28" s="198">
        <f t="shared" ref="U28:U29" si="165">IF($A28=0,0,$A28*G28/$A28)</f>
        <v>0</v>
      </c>
      <c r="V28" s="198">
        <f t="shared" ref="V28:V29" si="166">IF($A28=0,0,$A28*H28/$A28)</f>
        <v>0</v>
      </c>
      <c r="W28" s="198">
        <f t="shared" ref="W28:W29" si="167">IF($A28=0,0,$A28*I28/$A28)</f>
        <v>0</v>
      </c>
      <c r="X28" s="198">
        <f t="shared" ref="X28:X29" si="168">IF($A28=0,0,$A28*J28/$A28)</f>
        <v>0</v>
      </c>
      <c r="Y28" s="198">
        <f t="shared" ref="Y28:Y29" si="169">IF($A28=0,0,$A28*K28/$A28)</f>
        <v>0</v>
      </c>
      <c r="Z28" s="198">
        <f t="shared" ref="Z28:Z29" si="170">IF($A28=0,0,$A28*L28/$A28)</f>
        <v>0</v>
      </c>
      <c r="AA28" s="198">
        <f t="shared" ref="AA28:AA29" si="171">IF($A28=0,0,$A28*M28)</f>
        <v>0</v>
      </c>
      <c r="AB28" s="198">
        <f t="shared" ref="AB28:AB29" si="172">IF($A28=0,0,$A28*N28)</f>
        <v>0</v>
      </c>
      <c r="AC28" s="198">
        <f t="shared" ref="AC28:AC29" si="173">IF($A28=0,0,O28)</f>
        <v>0</v>
      </c>
      <c r="AD28" s="198">
        <f t="shared" ref="AD28:AD29" si="174">IF($A28=0,0,$A28*P28)</f>
        <v>0</v>
      </c>
      <c r="AE28" s="198">
        <f t="shared" ref="AE28:AE29" si="175">IF(Q28=0,0,Q28/$Q$46)</f>
        <v>0</v>
      </c>
      <c r="AF28" s="218">
        <f t="shared" ref="AF28:AF29" si="176">Q28</f>
        <v>0</v>
      </c>
      <c r="AG28" s="219">
        <f t="shared" ref="AG28:AG29" si="177">R28</f>
        <v>0</v>
      </c>
      <c r="AH28" s="221">
        <f t="shared" ref="AH28:AH29" si="178">S28*$AE28</f>
        <v>0</v>
      </c>
      <c r="AI28" s="221">
        <f t="shared" ref="AI28:AI29" si="179">T28*$AE28</f>
        <v>0</v>
      </c>
      <c r="AJ28" s="221">
        <f t="shared" ref="AJ28:AJ29" si="180">U28*$AE28</f>
        <v>0</v>
      </c>
      <c r="AK28" s="221">
        <f t="shared" ref="AK28:AK29" si="181">V28*$AE28</f>
        <v>0</v>
      </c>
      <c r="AL28" s="221">
        <f t="shared" ref="AL28:AL29" si="182">W28*$AE28</f>
        <v>0</v>
      </c>
      <c r="AM28" s="221">
        <f t="shared" ref="AM28:AM29" si="183">X28*$AE28</f>
        <v>0</v>
      </c>
      <c r="AN28" s="221">
        <f t="shared" ref="AN28:AN29" si="184">Y28*$AE28</f>
        <v>0</v>
      </c>
      <c r="AO28" s="221">
        <f t="shared" ref="AO28:AO29" si="185">Z28*$AE28</f>
        <v>0</v>
      </c>
      <c r="AP28" s="220">
        <f t="shared" ref="AP28:AP29" si="186">AA28</f>
        <v>0</v>
      </c>
      <c r="AQ28" s="220">
        <f t="shared" ref="AQ28:AQ29" si="187">AB28</f>
        <v>0</v>
      </c>
      <c r="AR28" s="198">
        <f t="shared" ref="AR28:AR29" si="188">AC28*$AE28</f>
        <v>0</v>
      </c>
      <c r="AS28" s="198">
        <f t="shared" ref="AS28:AS29" si="189">AD28*$AE28</f>
        <v>0</v>
      </c>
    </row>
    <row r="29" spans="1:45">
      <c r="A29" s="435"/>
      <c r="B29" s="242" t="str">
        <f>data!A38</f>
        <v>MXZ-5C42NA (Ducted)</v>
      </c>
      <c r="C29" s="203">
        <f>data!B38</f>
        <v>37500</v>
      </c>
      <c r="D29" s="203">
        <f>data!C38</f>
        <v>41000</v>
      </c>
      <c r="E29" s="204">
        <f>data!D38</f>
        <v>3.47</v>
      </c>
      <c r="F29" s="204">
        <f>data!E38</f>
        <v>2.35</v>
      </c>
      <c r="G29" s="204">
        <f>data!F38</f>
        <v>2.2501817323039583</v>
      </c>
      <c r="H29" s="204">
        <f>data!G38</f>
        <v>2.6377491207502932</v>
      </c>
      <c r="I29" s="204">
        <f>data!H38</f>
        <v>4.4548651817116056</v>
      </c>
      <c r="J29" s="204">
        <f>data!I38</f>
        <v>15.2</v>
      </c>
      <c r="K29" s="204">
        <f>data!J38</f>
        <v>9</v>
      </c>
      <c r="L29" s="197">
        <f>data!K38</f>
        <v>0.1</v>
      </c>
      <c r="M29" s="203">
        <f>data!L38</f>
        <v>29100</v>
      </c>
      <c r="N29" s="203">
        <f>data!M38</f>
        <v>21320</v>
      </c>
      <c r="O29" s="205">
        <f>data!P38</f>
        <v>1.4</v>
      </c>
      <c r="P29" s="205">
        <f>data!Q38</f>
        <v>0</v>
      </c>
      <c r="Q29" s="206">
        <f t="shared" si="161"/>
        <v>0</v>
      </c>
      <c r="R29" s="207">
        <f t="shared" si="162"/>
        <v>0</v>
      </c>
      <c r="S29" s="198">
        <f t="shared" si="163"/>
        <v>0</v>
      </c>
      <c r="T29" s="198">
        <f t="shared" si="164"/>
        <v>0</v>
      </c>
      <c r="U29" s="198">
        <f t="shared" si="165"/>
        <v>0</v>
      </c>
      <c r="V29" s="198">
        <f t="shared" si="166"/>
        <v>0</v>
      </c>
      <c r="W29" s="198">
        <f t="shared" si="167"/>
        <v>0</v>
      </c>
      <c r="X29" s="198">
        <f t="shared" si="168"/>
        <v>0</v>
      </c>
      <c r="Y29" s="198">
        <f t="shared" si="169"/>
        <v>0</v>
      </c>
      <c r="Z29" s="198">
        <f t="shared" si="170"/>
        <v>0</v>
      </c>
      <c r="AA29" s="198">
        <f t="shared" si="171"/>
        <v>0</v>
      </c>
      <c r="AB29" s="198">
        <f t="shared" si="172"/>
        <v>0</v>
      </c>
      <c r="AC29" s="198">
        <f t="shared" si="173"/>
        <v>0</v>
      </c>
      <c r="AD29" s="198">
        <f t="shared" si="174"/>
        <v>0</v>
      </c>
      <c r="AE29" s="198">
        <f t="shared" si="175"/>
        <v>0</v>
      </c>
      <c r="AF29" s="218">
        <f t="shared" si="176"/>
        <v>0</v>
      </c>
      <c r="AG29" s="219">
        <f t="shared" si="177"/>
        <v>0</v>
      </c>
      <c r="AH29" s="221">
        <f t="shared" si="178"/>
        <v>0</v>
      </c>
      <c r="AI29" s="221">
        <f t="shared" si="179"/>
        <v>0</v>
      </c>
      <c r="AJ29" s="221">
        <f t="shared" si="180"/>
        <v>0</v>
      </c>
      <c r="AK29" s="221">
        <f t="shared" si="181"/>
        <v>0</v>
      </c>
      <c r="AL29" s="221">
        <f t="shared" si="182"/>
        <v>0</v>
      </c>
      <c r="AM29" s="221">
        <f t="shared" si="183"/>
        <v>0</v>
      </c>
      <c r="AN29" s="221">
        <f t="shared" si="184"/>
        <v>0</v>
      </c>
      <c r="AO29" s="221">
        <f t="shared" si="185"/>
        <v>0</v>
      </c>
      <c r="AP29" s="220">
        <f t="shared" si="186"/>
        <v>0</v>
      </c>
      <c r="AQ29" s="220">
        <f t="shared" si="187"/>
        <v>0</v>
      </c>
      <c r="AR29" s="198">
        <f t="shared" si="188"/>
        <v>0</v>
      </c>
      <c r="AS29" s="198">
        <f t="shared" si="189"/>
        <v>0</v>
      </c>
    </row>
    <row r="30" spans="1:45">
      <c r="A30" s="435"/>
      <c r="B30" s="242" t="str">
        <f>data!A39</f>
        <v>MXZ-8C48NA (non-ducted)</v>
      </c>
      <c r="C30" s="203">
        <f>data!B39</f>
        <v>48000</v>
      </c>
      <c r="D30" s="203">
        <f>data!C39</f>
        <v>54000</v>
      </c>
      <c r="E30" s="204">
        <f>data!D39</f>
        <v>3.75</v>
      </c>
      <c r="F30" s="204">
        <f>data!E39</f>
        <v>2.6</v>
      </c>
      <c r="G30" s="204">
        <f>data!F39</f>
        <v>2.4751215589483535</v>
      </c>
      <c r="H30" s="204">
        <f>data!G39</f>
        <v>3.5169988276670576</v>
      </c>
      <c r="I30" s="204">
        <f>data!H39</f>
        <v>5.539273153575615</v>
      </c>
      <c r="J30" s="204">
        <f>data!I39</f>
        <v>18.899999999999999</v>
      </c>
      <c r="K30" s="204">
        <f>data!J39</f>
        <v>12</v>
      </c>
      <c r="L30" s="197">
        <f>data!K39</f>
        <v>0.1</v>
      </c>
      <c r="M30" s="203">
        <f>data!L39</f>
        <v>36600</v>
      </c>
      <c r="N30" s="203">
        <f>data!M39</f>
        <v>32400</v>
      </c>
      <c r="O30" s="205">
        <f>data!P39</f>
        <v>0</v>
      </c>
      <c r="P30" s="205">
        <f>data!Q39</f>
        <v>0</v>
      </c>
      <c r="Q30" s="206">
        <f t="shared" si="5"/>
        <v>0</v>
      </c>
      <c r="R30" s="207">
        <f t="shared" si="6"/>
        <v>0</v>
      </c>
      <c r="S30" s="198">
        <f t="shared" si="7"/>
        <v>0</v>
      </c>
      <c r="T30" s="198">
        <f t="shared" si="8"/>
        <v>0</v>
      </c>
      <c r="U30" s="198">
        <f t="shared" si="9"/>
        <v>0</v>
      </c>
      <c r="V30" s="198">
        <f t="shared" si="10"/>
        <v>0</v>
      </c>
      <c r="W30" s="198">
        <f t="shared" si="11"/>
        <v>0</v>
      </c>
      <c r="X30" s="198">
        <f t="shared" si="12"/>
        <v>0</v>
      </c>
      <c r="Y30" s="198">
        <f t="shared" si="13"/>
        <v>0</v>
      </c>
      <c r="Z30" s="198">
        <f t="shared" si="14"/>
        <v>0</v>
      </c>
      <c r="AA30" s="198">
        <f t="shared" si="15"/>
        <v>0</v>
      </c>
      <c r="AB30" s="198">
        <f t="shared" si="16"/>
        <v>0</v>
      </c>
      <c r="AC30" s="198">
        <f t="shared" si="17"/>
        <v>0</v>
      </c>
      <c r="AD30" s="198">
        <f t="shared" si="18"/>
        <v>0</v>
      </c>
      <c r="AE30" s="198">
        <f>IF(Q30=0,0,Q30/$Q$46)</f>
        <v>0</v>
      </c>
      <c r="AF30" s="218">
        <f t="shared" si="19"/>
        <v>0</v>
      </c>
      <c r="AG30" s="219">
        <f t="shared" si="19"/>
        <v>0</v>
      </c>
      <c r="AH30" s="221">
        <f t="shared" si="151"/>
        <v>0</v>
      </c>
      <c r="AI30" s="221">
        <f t="shared" si="152"/>
        <v>0</v>
      </c>
      <c r="AJ30" s="221">
        <f t="shared" si="153"/>
        <v>0</v>
      </c>
      <c r="AK30" s="221">
        <f t="shared" si="154"/>
        <v>0</v>
      </c>
      <c r="AL30" s="221">
        <f t="shared" si="155"/>
        <v>0</v>
      </c>
      <c r="AM30" s="221">
        <f t="shared" si="156"/>
        <v>0</v>
      </c>
      <c r="AN30" s="221">
        <f t="shared" si="157"/>
        <v>0</v>
      </c>
      <c r="AO30" s="221">
        <f t="shared" si="158"/>
        <v>0</v>
      </c>
      <c r="AP30" s="220">
        <f t="shared" si="20"/>
        <v>0</v>
      </c>
      <c r="AQ30" s="220">
        <f t="shared" si="20"/>
        <v>0</v>
      </c>
      <c r="AR30" s="198">
        <f t="shared" si="159"/>
        <v>0</v>
      </c>
      <c r="AS30" s="198">
        <f t="shared" si="160"/>
        <v>0</v>
      </c>
    </row>
    <row r="31" spans="1:45">
      <c r="A31" s="435"/>
      <c r="B31" s="242" t="str">
        <f>data!A40</f>
        <v>MXZ-8C48NA (Mixed)</v>
      </c>
      <c r="C31" s="203">
        <f>data!B40</f>
        <v>48000</v>
      </c>
      <c r="D31" s="203">
        <f>data!C40</f>
        <v>54000</v>
      </c>
      <c r="E31" s="204">
        <f>data!D40</f>
        <v>3.44</v>
      </c>
      <c r="F31" s="204">
        <f>data!E40</f>
        <v>2.4500000000000002</v>
      </c>
      <c r="G31" s="204">
        <f>data!F40</f>
        <v>2.3323260843936406</v>
      </c>
      <c r="H31" s="204">
        <f>data!G40</f>
        <v>3.1506447831184055</v>
      </c>
      <c r="I31" s="204">
        <f>data!H40</f>
        <v>4.9237983587338796</v>
      </c>
      <c r="J31" s="204">
        <f>data!I40</f>
        <v>16.799999999999997</v>
      </c>
      <c r="K31" s="204">
        <f>data!J40</f>
        <v>10.75</v>
      </c>
      <c r="L31" s="197">
        <f>data!K40</f>
        <v>0.1</v>
      </c>
      <c r="M31" s="203">
        <f>data!L40</f>
        <v>36600</v>
      </c>
      <c r="N31" s="203">
        <f>data!M40</f>
        <v>32400</v>
      </c>
      <c r="O31" s="205">
        <f>data!P40</f>
        <v>0</v>
      </c>
      <c r="P31" s="205">
        <f>data!Q40</f>
        <v>0</v>
      </c>
      <c r="Q31" s="206">
        <f t="shared" ref="Q31:Q32" si="190">A31*C31</f>
        <v>0</v>
      </c>
      <c r="R31" s="207">
        <f t="shared" ref="R31:R32" si="191">A31*D31</f>
        <v>0</v>
      </c>
      <c r="S31" s="198">
        <f t="shared" ref="S31:S32" si="192">IF($A31=0,0,$A31*E31/$A31)</f>
        <v>0</v>
      </c>
      <c r="T31" s="198">
        <f t="shared" ref="T31:T32" si="193">IF($A31=0,0,$A31*F31/$A31)</f>
        <v>0</v>
      </c>
      <c r="U31" s="198">
        <f t="shared" ref="U31:U32" si="194">IF($A31=0,0,$A31*G31/$A31)</f>
        <v>0</v>
      </c>
      <c r="V31" s="198">
        <f t="shared" ref="V31:V32" si="195">IF($A31=0,0,$A31*H31/$A31)</f>
        <v>0</v>
      </c>
      <c r="W31" s="198">
        <f t="shared" ref="W31:W32" si="196">IF($A31=0,0,$A31*I31/$A31)</f>
        <v>0</v>
      </c>
      <c r="X31" s="198">
        <f t="shared" ref="X31:X32" si="197">IF($A31=0,0,$A31*J31/$A31)</f>
        <v>0</v>
      </c>
      <c r="Y31" s="198">
        <f t="shared" ref="Y31:Y32" si="198">IF($A31=0,0,$A31*K31/$A31)</f>
        <v>0</v>
      </c>
      <c r="Z31" s="198">
        <f t="shared" ref="Z31:Z32" si="199">IF($A31=0,0,$A31*L31/$A31)</f>
        <v>0</v>
      </c>
      <c r="AA31" s="198">
        <f t="shared" ref="AA31:AA32" si="200">IF($A31=0,0,$A31*M31)</f>
        <v>0</v>
      </c>
      <c r="AB31" s="198">
        <f t="shared" ref="AB31:AB32" si="201">IF($A31=0,0,$A31*N31)</f>
        <v>0</v>
      </c>
      <c r="AC31" s="198">
        <f t="shared" ref="AC31:AC32" si="202">IF($A31=0,0,O31)</f>
        <v>0</v>
      </c>
      <c r="AD31" s="198">
        <f t="shared" ref="AD31:AD32" si="203">IF($A31=0,0,$A31*P31)</f>
        <v>0</v>
      </c>
      <c r="AE31" s="198">
        <f t="shared" ref="AE31:AE32" si="204">IF(Q31=0,0,Q31/$Q$46)</f>
        <v>0</v>
      </c>
      <c r="AF31" s="218">
        <f t="shared" ref="AF31:AF32" si="205">Q31</f>
        <v>0</v>
      </c>
      <c r="AG31" s="219">
        <f t="shared" ref="AG31:AG32" si="206">R31</f>
        <v>0</v>
      </c>
      <c r="AH31" s="221">
        <f t="shared" ref="AH31:AH32" si="207">S31*$AE31</f>
        <v>0</v>
      </c>
      <c r="AI31" s="221">
        <f t="shared" ref="AI31:AI32" si="208">T31*$AE31</f>
        <v>0</v>
      </c>
      <c r="AJ31" s="221">
        <f t="shared" ref="AJ31:AJ32" si="209">U31*$AE31</f>
        <v>0</v>
      </c>
      <c r="AK31" s="221">
        <f t="shared" ref="AK31:AK32" si="210">V31*$AE31</f>
        <v>0</v>
      </c>
      <c r="AL31" s="221">
        <f t="shared" ref="AL31:AL32" si="211">W31*$AE31</f>
        <v>0</v>
      </c>
      <c r="AM31" s="221">
        <f t="shared" ref="AM31:AM32" si="212">X31*$AE31</f>
        <v>0</v>
      </c>
      <c r="AN31" s="221">
        <f t="shared" ref="AN31:AN32" si="213">Y31*$AE31</f>
        <v>0</v>
      </c>
      <c r="AO31" s="221">
        <f t="shared" ref="AO31:AO32" si="214">Z31*$AE31</f>
        <v>0</v>
      </c>
      <c r="AP31" s="220">
        <f t="shared" ref="AP31:AP32" si="215">AA31</f>
        <v>0</v>
      </c>
      <c r="AQ31" s="220">
        <f t="shared" ref="AQ31:AQ32" si="216">AB31</f>
        <v>0</v>
      </c>
      <c r="AR31" s="198">
        <f t="shared" ref="AR31:AR32" si="217">AC31*$AE31</f>
        <v>0</v>
      </c>
      <c r="AS31" s="198">
        <f t="shared" ref="AS31:AS32" si="218">AD31*$AE31</f>
        <v>0</v>
      </c>
    </row>
    <row r="32" spans="1:45">
      <c r="A32" s="435"/>
      <c r="B32" s="242" t="str">
        <f>data!A41</f>
        <v>MXZ-8C48NA (Ducted)</v>
      </c>
      <c r="C32" s="203">
        <f>data!B41</f>
        <v>48000</v>
      </c>
      <c r="D32" s="203">
        <f>data!C41</f>
        <v>54000</v>
      </c>
      <c r="E32" s="204">
        <f>data!D41</f>
        <v>3.17</v>
      </c>
      <c r="F32" s="204">
        <f>data!E41</f>
        <v>2.2999999999999998</v>
      </c>
      <c r="G32" s="204">
        <f>data!F41</f>
        <v>2.1895306098389278</v>
      </c>
      <c r="H32" s="204">
        <f>data!G41</f>
        <v>2.7842907385697537</v>
      </c>
      <c r="I32" s="204">
        <f>data!H41</f>
        <v>4.3083235638921451</v>
      </c>
      <c r="J32" s="204">
        <f>data!I41</f>
        <v>14.7</v>
      </c>
      <c r="K32" s="204">
        <f>data!J41</f>
        <v>9.5</v>
      </c>
      <c r="L32" s="197">
        <f>data!K41</f>
        <v>0.1</v>
      </c>
      <c r="M32" s="203">
        <f>data!L41</f>
        <v>36600</v>
      </c>
      <c r="N32" s="203">
        <f>data!M41</f>
        <v>32400</v>
      </c>
      <c r="O32" s="205">
        <f>data!P41</f>
        <v>0</v>
      </c>
      <c r="P32" s="205">
        <f>data!Q41</f>
        <v>0</v>
      </c>
      <c r="Q32" s="206">
        <f t="shared" si="190"/>
        <v>0</v>
      </c>
      <c r="R32" s="207">
        <f t="shared" si="191"/>
        <v>0</v>
      </c>
      <c r="S32" s="198">
        <f t="shared" si="192"/>
        <v>0</v>
      </c>
      <c r="T32" s="198">
        <f t="shared" si="193"/>
        <v>0</v>
      </c>
      <c r="U32" s="198">
        <f t="shared" si="194"/>
        <v>0</v>
      </c>
      <c r="V32" s="198">
        <f t="shared" si="195"/>
        <v>0</v>
      </c>
      <c r="W32" s="198">
        <f t="shared" si="196"/>
        <v>0</v>
      </c>
      <c r="X32" s="198">
        <f t="shared" si="197"/>
        <v>0</v>
      </c>
      <c r="Y32" s="198">
        <f t="shared" si="198"/>
        <v>0</v>
      </c>
      <c r="Z32" s="198">
        <f t="shared" si="199"/>
        <v>0</v>
      </c>
      <c r="AA32" s="198">
        <f t="shared" si="200"/>
        <v>0</v>
      </c>
      <c r="AB32" s="198">
        <f t="shared" si="201"/>
        <v>0</v>
      </c>
      <c r="AC32" s="198">
        <f t="shared" si="202"/>
        <v>0</v>
      </c>
      <c r="AD32" s="198">
        <f t="shared" si="203"/>
        <v>0</v>
      </c>
      <c r="AE32" s="198">
        <f t="shared" si="204"/>
        <v>0</v>
      </c>
      <c r="AF32" s="218">
        <f t="shared" si="205"/>
        <v>0</v>
      </c>
      <c r="AG32" s="219">
        <f t="shared" si="206"/>
        <v>0</v>
      </c>
      <c r="AH32" s="221">
        <f t="shared" si="207"/>
        <v>0</v>
      </c>
      <c r="AI32" s="221">
        <f t="shared" si="208"/>
        <v>0</v>
      </c>
      <c r="AJ32" s="221">
        <f t="shared" si="209"/>
        <v>0</v>
      </c>
      <c r="AK32" s="221">
        <f t="shared" si="210"/>
        <v>0</v>
      </c>
      <c r="AL32" s="221">
        <f t="shared" si="211"/>
        <v>0</v>
      </c>
      <c r="AM32" s="221">
        <f t="shared" si="212"/>
        <v>0</v>
      </c>
      <c r="AN32" s="221">
        <f t="shared" si="213"/>
        <v>0</v>
      </c>
      <c r="AO32" s="221">
        <f t="shared" si="214"/>
        <v>0</v>
      </c>
      <c r="AP32" s="220">
        <f t="shared" si="215"/>
        <v>0</v>
      </c>
      <c r="AQ32" s="220">
        <f t="shared" si="216"/>
        <v>0</v>
      </c>
      <c r="AR32" s="198">
        <f t="shared" si="217"/>
        <v>0</v>
      </c>
      <c r="AS32" s="198">
        <f t="shared" si="218"/>
        <v>0</v>
      </c>
    </row>
    <row r="33" spans="1:45">
      <c r="A33" s="435"/>
      <c r="B33" s="242" t="str">
        <f>data!A42</f>
        <v>MXZ-8C60NA (non-ducted)</v>
      </c>
      <c r="C33" s="203">
        <f>data!B42</f>
        <v>60000</v>
      </c>
      <c r="D33" s="203">
        <f>data!C42</f>
        <v>66000</v>
      </c>
      <c r="E33" s="204">
        <f>data!D42</f>
        <v>3.4</v>
      </c>
      <c r="F33" s="204">
        <f>data!E42</f>
        <v>2.5</v>
      </c>
      <c r="G33" s="204">
        <f>data!F42</f>
        <v>2.000101759563206</v>
      </c>
      <c r="H33" s="204">
        <f>data!G42</f>
        <v>3.6635404454865181</v>
      </c>
      <c r="I33" s="204">
        <f>data!H42</f>
        <v>5.0996483001172326</v>
      </c>
      <c r="J33" s="204">
        <f>data!I42</f>
        <v>17.399999999999999</v>
      </c>
      <c r="K33" s="204">
        <f>data!J42</f>
        <v>12.5</v>
      </c>
      <c r="L33" s="197">
        <f>data!K42</f>
        <v>0.1</v>
      </c>
      <c r="M33" s="203">
        <f>data!L42</f>
        <v>65000</v>
      </c>
      <c r="N33" s="203">
        <f>data!M42</f>
        <v>57000</v>
      </c>
      <c r="O33" s="205">
        <f>data!P42</f>
        <v>0</v>
      </c>
      <c r="P33" s="205">
        <f>data!Q42</f>
        <v>0</v>
      </c>
      <c r="Q33" s="206">
        <f t="shared" ref="Q33:Q34" si="219">A33*C33</f>
        <v>0</v>
      </c>
      <c r="R33" s="207">
        <f t="shared" ref="R33:R34" si="220">A33*D33</f>
        <v>0</v>
      </c>
      <c r="S33" s="198">
        <f t="shared" ref="S33:S34" si="221">IF($A33=0,0,$A33*E33/$A33)</f>
        <v>0</v>
      </c>
      <c r="T33" s="198">
        <f t="shared" ref="T33:T34" si="222">IF($A33=0,0,$A33*F33/$A33)</f>
        <v>0</v>
      </c>
      <c r="U33" s="198">
        <f t="shared" ref="U33:U34" si="223">IF($A33=0,0,$A33*G33/$A33)</f>
        <v>0</v>
      </c>
      <c r="V33" s="198">
        <f t="shared" ref="V33:V34" si="224">IF($A33=0,0,$A33*H33/$A33)</f>
        <v>0</v>
      </c>
      <c r="W33" s="198">
        <f t="shared" ref="W33:W34" si="225">IF($A33=0,0,$A33*I33/$A33)</f>
        <v>0</v>
      </c>
      <c r="X33" s="198">
        <f t="shared" ref="X33:X34" si="226">IF($A33=0,0,$A33*J33/$A33)</f>
        <v>0</v>
      </c>
      <c r="Y33" s="198">
        <f t="shared" ref="Y33:Y34" si="227">IF($A33=0,0,$A33*K33/$A33)</f>
        <v>0</v>
      </c>
      <c r="Z33" s="198">
        <f t="shared" ref="Z33:Z34" si="228">IF($A33=0,0,$A33*L33/$A33)</f>
        <v>0</v>
      </c>
      <c r="AA33" s="198">
        <f t="shared" ref="AA33:AA34" si="229">IF($A33=0,0,$A33*M33)</f>
        <v>0</v>
      </c>
      <c r="AB33" s="198">
        <f t="shared" ref="AB33:AB34" si="230">IF($A33=0,0,$A33*N33)</f>
        <v>0</v>
      </c>
      <c r="AC33" s="198">
        <f t="shared" ref="AC33:AC34" si="231">IF($A33=0,0,O33)</f>
        <v>0</v>
      </c>
      <c r="AD33" s="198">
        <f t="shared" ref="AD33:AD34" si="232">IF($A33=0,0,$A33*P33)</f>
        <v>0</v>
      </c>
      <c r="AE33" s="198">
        <f t="shared" ref="AE33:AE34" si="233">IF(Q33=0,0,Q33/$Q$46)</f>
        <v>0</v>
      </c>
      <c r="AF33" s="218">
        <f t="shared" ref="AF33:AF34" si="234">Q33</f>
        <v>0</v>
      </c>
      <c r="AG33" s="219">
        <f t="shared" ref="AG33:AG34" si="235">R33</f>
        <v>0</v>
      </c>
      <c r="AH33" s="221">
        <f t="shared" ref="AH33:AH34" si="236">S33*$AE33</f>
        <v>0</v>
      </c>
      <c r="AI33" s="221">
        <f t="shared" ref="AI33:AI34" si="237">T33*$AE33</f>
        <v>0</v>
      </c>
      <c r="AJ33" s="221">
        <f t="shared" ref="AJ33:AJ34" si="238">U33*$AE33</f>
        <v>0</v>
      </c>
      <c r="AK33" s="221">
        <f t="shared" ref="AK33:AK34" si="239">V33*$AE33</f>
        <v>0</v>
      </c>
      <c r="AL33" s="221">
        <f t="shared" ref="AL33:AL34" si="240">W33*$AE33</f>
        <v>0</v>
      </c>
      <c r="AM33" s="221">
        <f t="shared" ref="AM33:AM34" si="241">X33*$AE33</f>
        <v>0</v>
      </c>
      <c r="AN33" s="221">
        <f t="shared" ref="AN33:AN34" si="242">Y33*$AE33</f>
        <v>0</v>
      </c>
      <c r="AO33" s="221">
        <f t="shared" ref="AO33:AO34" si="243">Z33*$AE33</f>
        <v>0</v>
      </c>
      <c r="AP33" s="220">
        <f t="shared" ref="AP33:AP34" si="244">AA33</f>
        <v>0</v>
      </c>
      <c r="AQ33" s="220">
        <f t="shared" ref="AQ33:AQ34" si="245">AB33</f>
        <v>0</v>
      </c>
      <c r="AR33" s="198">
        <f t="shared" ref="AR33:AR34" si="246">AC33*$AE33</f>
        <v>0</v>
      </c>
      <c r="AS33" s="198">
        <f t="shared" ref="AS33:AS34" si="247">AD33*$AE33</f>
        <v>0</v>
      </c>
    </row>
    <row r="34" spans="1:45">
      <c r="A34" s="435"/>
      <c r="B34" s="242" t="str">
        <f>data!A43</f>
        <v>MXZ-8C60NA (Mixed)</v>
      </c>
      <c r="C34" s="203">
        <f>data!B43</f>
        <v>60000</v>
      </c>
      <c r="D34" s="203">
        <f>data!C43</f>
        <v>66000</v>
      </c>
      <c r="E34" s="204">
        <f>data!D43</f>
        <v>3.4</v>
      </c>
      <c r="F34" s="204">
        <f>data!E43</f>
        <v>2.5</v>
      </c>
      <c r="G34" s="204">
        <f>data!F43</f>
        <v>1.7643918268000363</v>
      </c>
      <c r="H34" s="204">
        <f>data!G43</f>
        <v>3.2385697538100819</v>
      </c>
      <c r="I34" s="204">
        <f>data!H43</f>
        <v>4.7626025791324729</v>
      </c>
      <c r="J34" s="204">
        <f>data!I43</f>
        <v>16.3</v>
      </c>
      <c r="K34" s="204">
        <f>data!J43</f>
        <v>11.05</v>
      </c>
      <c r="L34" s="197">
        <f>data!K43</f>
        <v>0.1</v>
      </c>
      <c r="M34" s="203">
        <f>data!L43</f>
        <v>61500</v>
      </c>
      <c r="N34" s="203">
        <f>data!M43</f>
        <v>49500</v>
      </c>
      <c r="O34" s="205">
        <f>data!P43</f>
        <v>0</v>
      </c>
      <c r="P34" s="205">
        <f>data!Q43</f>
        <v>0</v>
      </c>
      <c r="Q34" s="206">
        <f t="shared" si="219"/>
        <v>0</v>
      </c>
      <c r="R34" s="207">
        <f t="shared" si="220"/>
        <v>0</v>
      </c>
      <c r="S34" s="198">
        <f t="shared" si="221"/>
        <v>0</v>
      </c>
      <c r="T34" s="198">
        <f t="shared" si="222"/>
        <v>0</v>
      </c>
      <c r="U34" s="198">
        <f t="shared" si="223"/>
        <v>0</v>
      </c>
      <c r="V34" s="198">
        <f t="shared" si="224"/>
        <v>0</v>
      </c>
      <c r="W34" s="198">
        <f t="shared" si="225"/>
        <v>0</v>
      </c>
      <c r="X34" s="198">
        <f t="shared" si="226"/>
        <v>0</v>
      </c>
      <c r="Y34" s="198">
        <f t="shared" si="227"/>
        <v>0</v>
      </c>
      <c r="Z34" s="198">
        <f t="shared" si="228"/>
        <v>0</v>
      </c>
      <c r="AA34" s="198">
        <f t="shared" si="229"/>
        <v>0</v>
      </c>
      <c r="AB34" s="198">
        <f t="shared" si="230"/>
        <v>0</v>
      </c>
      <c r="AC34" s="198">
        <f t="shared" si="231"/>
        <v>0</v>
      </c>
      <c r="AD34" s="198">
        <f t="shared" si="232"/>
        <v>0</v>
      </c>
      <c r="AE34" s="198">
        <f t="shared" si="233"/>
        <v>0</v>
      </c>
      <c r="AF34" s="218">
        <f t="shared" si="234"/>
        <v>0</v>
      </c>
      <c r="AG34" s="219">
        <f t="shared" si="235"/>
        <v>0</v>
      </c>
      <c r="AH34" s="221">
        <f t="shared" si="236"/>
        <v>0</v>
      </c>
      <c r="AI34" s="221">
        <f t="shared" si="237"/>
        <v>0</v>
      </c>
      <c r="AJ34" s="221">
        <f t="shared" si="238"/>
        <v>0</v>
      </c>
      <c r="AK34" s="221">
        <f t="shared" si="239"/>
        <v>0</v>
      </c>
      <c r="AL34" s="221">
        <f t="shared" si="240"/>
        <v>0</v>
      </c>
      <c r="AM34" s="221">
        <f t="shared" si="241"/>
        <v>0</v>
      </c>
      <c r="AN34" s="221">
        <f t="shared" si="242"/>
        <v>0</v>
      </c>
      <c r="AO34" s="221">
        <f t="shared" si="243"/>
        <v>0</v>
      </c>
      <c r="AP34" s="220">
        <f t="shared" si="244"/>
        <v>0</v>
      </c>
      <c r="AQ34" s="220">
        <f t="shared" si="245"/>
        <v>0</v>
      </c>
      <c r="AR34" s="198">
        <f t="shared" si="246"/>
        <v>0</v>
      </c>
      <c r="AS34" s="198">
        <f t="shared" si="247"/>
        <v>0</v>
      </c>
    </row>
    <row r="35" spans="1:45">
      <c r="A35" s="435"/>
      <c r="B35" s="242" t="str">
        <f>data!A44</f>
        <v>MXZ-8C60NA (Ducted)</v>
      </c>
      <c r="C35" s="203">
        <f>data!B44</f>
        <v>60000</v>
      </c>
      <c r="D35" s="203">
        <f>data!C44</f>
        <v>66000</v>
      </c>
      <c r="E35" s="204">
        <f>data!D44</f>
        <v>3.4</v>
      </c>
      <c r="F35" s="204">
        <f>data!E44</f>
        <v>2.5</v>
      </c>
      <c r="G35" s="204">
        <f>data!F44</f>
        <v>1.5286818940368667</v>
      </c>
      <c r="H35" s="204">
        <f>data!G44</f>
        <v>2.8135990621336457</v>
      </c>
      <c r="I35" s="204">
        <f>data!H44</f>
        <v>4.425556858147714</v>
      </c>
      <c r="J35" s="204">
        <f>data!I44</f>
        <v>15.1</v>
      </c>
      <c r="K35" s="204">
        <f>data!J44</f>
        <v>9.6</v>
      </c>
      <c r="L35" s="197">
        <f>data!K44</f>
        <v>0.1</v>
      </c>
      <c r="M35" s="203">
        <f>data!L44</f>
        <v>58000</v>
      </c>
      <c r="N35" s="203">
        <f>data!M44</f>
        <v>42000</v>
      </c>
      <c r="O35" s="205">
        <f>data!P44</f>
        <v>0</v>
      </c>
      <c r="P35" s="205">
        <f>data!Q44</f>
        <v>0</v>
      </c>
      <c r="Q35" s="206">
        <f t="shared" ref="Q35" si="248">A35*C35</f>
        <v>0</v>
      </c>
      <c r="R35" s="207">
        <f t="shared" ref="R35" si="249">A35*D35</f>
        <v>0</v>
      </c>
      <c r="S35" s="198">
        <f t="shared" ref="S35" si="250">IF($A35=0,0,$A35*E35/$A35)</f>
        <v>0</v>
      </c>
      <c r="T35" s="198">
        <f t="shared" ref="T35" si="251">IF($A35=0,0,$A35*F35/$A35)</f>
        <v>0</v>
      </c>
      <c r="U35" s="198">
        <f t="shared" ref="U35" si="252">IF($A35=0,0,$A35*G35/$A35)</f>
        <v>0</v>
      </c>
      <c r="V35" s="198">
        <f t="shared" ref="V35" si="253">IF($A35=0,0,$A35*H35/$A35)</f>
        <v>0</v>
      </c>
      <c r="W35" s="198">
        <f t="shared" ref="W35" si="254">IF($A35=0,0,$A35*I35/$A35)</f>
        <v>0</v>
      </c>
      <c r="X35" s="198">
        <f t="shared" ref="X35" si="255">IF($A35=0,0,$A35*J35/$A35)</f>
        <v>0</v>
      </c>
      <c r="Y35" s="198">
        <f t="shared" ref="Y35" si="256">IF($A35=0,0,$A35*K35/$A35)</f>
        <v>0</v>
      </c>
      <c r="Z35" s="198">
        <f t="shared" ref="Z35" si="257">IF($A35=0,0,$A35*L35/$A35)</f>
        <v>0</v>
      </c>
      <c r="AA35" s="198">
        <f t="shared" ref="AA35" si="258">IF($A35=0,0,$A35*M35)</f>
        <v>0</v>
      </c>
      <c r="AB35" s="198">
        <f t="shared" ref="AB35" si="259">IF($A35=0,0,$A35*N35)</f>
        <v>0</v>
      </c>
      <c r="AC35" s="198">
        <f t="shared" ref="AC35" si="260">IF($A35=0,0,O35)</f>
        <v>0</v>
      </c>
      <c r="AD35" s="198">
        <f t="shared" ref="AD35" si="261">IF($A35=0,0,$A35*P35)</f>
        <v>0</v>
      </c>
      <c r="AE35" s="198">
        <f t="shared" ref="AE35" si="262">IF(Q35=0,0,Q35/$Q$46)</f>
        <v>0</v>
      </c>
      <c r="AF35" s="218">
        <f t="shared" ref="AF35" si="263">Q35</f>
        <v>0</v>
      </c>
      <c r="AG35" s="219">
        <f t="shared" ref="AG35" si="264">R35</f>
        <v>0</v>
      </c>
      <c r="AH35" s="221">
        <f t="shared" ref="AH35" si="265">S35*$AE35</f>
        <v>0</v>
      </c>
      <c r="AI35" s="221">
        <f t="shared" ref="AI35" si="266">T35*$AE35</f>
        <v>0</v>
      </c>
      <c r="AJ35" s="221">
        <f t="shared" ref="AJ35" si="267">U35*$AE35</f>
        <v>0</v>
      </c>
      <c r="AK35" s="221">
        <f t="shared" ref="AK35" si="268">V35*$AE35</f>
        <v>0</v>
      </c>
      <c r="AL35" s="221">
        <f t="shared" ref="AL35" si="269">W35*$AE35</f>
        <v>0</v>
      </c>
      <c r="AM35" s="221">
        <f t="shared" ref="AM35" si="270">X35*$AE35</f>
        <v>0</v>
      </c>
      <c r="AN35" s="221">
        <f t="shared" ref="AN35" si="271">Y35*$AE35</f>
        <v>0</v>
      </c>
      <c r="AO35" s="221">
        <f t="shared" ref="AO35" si="272">Z35*$AE35</f>
        <v>0</v>
      </c>
      <c r="AP35" s="220">
        <f t="shared" ref="AP35" si="273">AA35</f>
        <v>0</v>
      </c>
      <c r="AQ35" s="220">
        <f t="shared" ref="AQ35" si="274">AB35</f>
        <v>0</v>
      </c>
      <c r="AR35" s="198">
        <f t="shared" ref="AR35" si="275">AC35*$AE35</f>
        <v>0</v>
      </c>
      <c r="AS35" s="198">
        <f t="shared" ref="AS35" si="276">AD35*$AE35</f>
        <v>0</v>
      </c>
    </row>
    <row r="36" spans="1:45">
      <c r="A36" s="435"/>
      <c r="B36" s="242" t="str">
        <f>data!A63</f>
        <v>PUMY-36NKMU1 (Non-Ducted)</v>
      </c>
      <c r="C36" s="203">
        <f>data!B63</f>
        <v>36000</v>
      </c>
      <c r="D36" s="203">
        <f>data!C63</f>
        <v>42000</v>
      </c>
      <c r="E36" s="204">
        <f>data!D63</f>
        <v>3.9</v>
      </c>
      <c r="F36" s="204">
        <f>data!E63</f>
        <v>3.074171712008666</v>
      </c>
      <c r="G36" s="204">
        <f>data!F63</f>
        <v>3.2861835542161604</v>
      </c>
      <c r="H36" s="204">
        <f>data!G63</f>
        <v>4.1617819460726846</v>
      </c>
      <c r="I36" s="204">
        <f>data!H63</f>
        <v>6.1547479484173504</v>
      </c>
      <c r="J36" s="204">
        <f>data!I63</f>
        <v>21</v>
      </c>
      <c r="K36" s="204">
        <f>data!J63</f>
        <v>14.2</v>
      </c>
      <c r="L36" s="197">
        <f>data!K63</f>
        <v>0.05</v>
      </c>
      <c r="M36" s="203">
        <f>data!L63</f>
        <v>30240</v>
      </c>
      <c r="N36" s="203">
        <f>data!M63</f>
        <v>25200</v>
      </c>
      <c r="O36" s="205">
        <f>data!P63</f>
        <v>0</v>
      </c>
      <c r="P36" s="205">
        <f>data!Q63</f>
        <v>0</v>
      </c>
      <c r="Q36" s="206">
        <f t="shared" ref="Q36" si="277">A36*C36</f>
        <v>0</v>
      </c>
      <c r="R36" s="207">
        <f t="shared" ref="R36" si="278">A36*D36</f>
        <v>0</v>
      </c>
      <c r="S36" s="198">
        <f t="shared" ref="S36" si="279">IF($A36=0,0,$A36*E36/$A36)</f>
        <v>0</v>
      </c>
      <c r="T36" s="198">
        <f t="shared" ref="T36" si="280">IF($A36=0,0,$A36*F36/$A36)</f>
        <v>0</v>
      </c>
      <c r="U36" s="198">
        <f t="shared" ref="U36" si="281">IF($A36=0,0,$A36*G36/$A36)</f>
        <v>0</v>
      </c>
      <c r="V36" s="198">
        <f t="shared" ref="V36" si="282">IF($A36=0,0,$A36*H36/$A36)</f>
        <v>0</v>
      </c>
      <c r="W36" s="198">
        <f t="shared" ref="W36" si="283">IF($A36=0,0,$A36*I36/$A36)</f>
        <v>0</v>
      </c>
      <c r="X36" s="198">
        <f t="shared" ref="X36" si="284">IF($A36=0,0,$A36*J36/$A36)</f>
        <v>0</v>
      </c>
      <c r="Y36" s="198">
        <f t="shared" ref="Y36" si="285">IF($A36=0,0,$A36*K36/$A36)</f>
        <v>0</v>
      </c>
      <c r="Z36" s="198">
        <f t="shared" ref="Z36" si="286">IF($A36=0,0,$A36*L36/$A36)</f>
        <v>0</v>
      </c>
      <c r="AA36" s="198">
        <f t="shared" ref="AA36" si="287">IF($A36=0,0,$A36*M36)</f>
        <v>0</v>
      </c>
      <c r="AB36" s="198">
        <f t="shared" ref="AB36" si="288">IF($A36=0,0,$A36*N36)</f>
        <v>0</v>
      </c>
      <c r="AC36" s="198">
        <f t="shared" ref="AC36" si="289">IF($A36=0,0,O36)</f>
        <v>0</v>
      </c>
      <c r="AD36" s="198">
        <f t="shared" ref="AD36" si="290">IF($A36=0,0,$A36*P36)</f>
        <v>0</v>
      </c>
      <c r="AE36" s="198">
        <f t="shared" ref="AE36" si="291">IF(Q36=0,0,Q36/$Q$46)</f>
        <v>0</v>
      </c>
      <c r="AF36" s="218">
        <f t="shared" ref="AF36" si="292">Q36</f>
        <v>0</v>
      </c>
      <c r="AG36" s="219">
        <f t="shared" ref="AG36" si="293">R36</f>
        <v>0</v>
      </c>
      <c r="AH36" s="221">
        <f t="shared" ref="AH36" si="294">S36*$AE36</f>
        <v>0</v>
      </c>
      <c r="AI36" s="221">
        <f t="shared" ref="AI36" si="295">T36*$AE36</f>
        <v>0</v>
      </c>
      <c r="AJ36" s="221">
        <f t="shared" ref="AJ36" si="296">U36*$AE36</f>
        <v>0</v>
      </c>
      <c r="AK36" s="221">
        <f t="shared" ref="AK36" si="297">V36*$AE36</f>
        <v>0</v>
      </c>
      <c r="AL36" s="221">
        <f t="shared" ref="AL36" si="298">W36*$AE36</f>
        <v>0</v>
      </c>
      <c r="AM36" s="221">
        <f t="shared" ref="AM36" si="299">X36*$AE36</f>
        <v>0</v>
      </c>
      <c r="AN36" s="221">
        <f t="shared" ref="AN36" si="300">Y36*$AE36</f>
        <v>0</v>
      </c>
      <c r="AO36" s="221">
        <f t="shared" ref="AO36" si="301">Z36*$AE36</f>
        <v>0</v>
      </c>
      <c r="AP36" s="220">
        <f t="shared" ref="AP36" si="302">AA36</f>
        <v>0</v>
      </c>
      <c r="AQ36" s="220">
        <f t="shared" ref="AQ36" si="303">AB36</f>
        <v>0</v>
      </c>
      <c r="AR36" s="198">
        <f t="shared" ref="AR36" si="304">AC36*$AE36</f>
        <v>0</v>
      </c>
      <c r="AS36" s="198">
        <f t="shared" ref="AS36" si="305">AD36*$AE36</f>
        <v>0</v>
      </c>
    </row>
    <row r="37" spans="1:45">
      <c r="A37" s="435"/>
      <c r="B37" s="242" t="str">
        <f>data!A64</f>
        <v>PUMY-36NKMU1 (Mixed)</v>
      </c>
      <c r="C37" s="203">
        <f>data!B64</f>
        <v>36000</v>
      </c>
      <c r="D37" s="203">
        <f>data!C64</f>
        <v>42000</v>
      </c>
      <c r="E37" s="204">
        <f>data!D64</f>
        <v>3.75</v>
      </c>
      <c r="F37" s="204">
        <f>data!E64</f>
        <v>2.9559343384698713</v>
      </c>
      <c r="G37" s="204">
        <f>data!F64</f>
        <v>3.1597918790540005</v>
      </c>
      <c r="H37" s="204">
        <f>data!G64</f>
        <v>3.9273153575615471</v>
      </c>
      <c r="I37" s="204">
        <f>data!H64</f>
        <v>5.3634232121922629</v>
      </c>
      <c r="J37" s="204">
        <f>data!I64</f>
        <v>18.3</v>
      </c>
      <c r="K37" s="204">
        <f>data!J64</f>
        <v>13.399999999999999</v>
      </c>
      <c r="L37" s="197">
        <f>data!K64</f>
        <v>7.5000000000000011E-2</v>
      </c>
      <c r="M37" s="203">
        <f>data!L64</f>
        <v>30240</v>
      </c>
      <c r="N37" s="203">
        <f>data!M64</f>
        <v>25200</v>
      </c>
      <c r="O37" s="205">
        <f>data!P64</f>
        <v>0</v>
      </c>
      <c r="P37" s="205">
        <f>data!Q64</f>
        <v>0</v>
      </c>
      <c r="Q37" s="206">
        <f t="shared" ref="Q37:Q44" si="306">A37*C37</f>
        <v>0</v>
      </c>
      <c r="R37" s="207">
        <f t="shared" ref="R37:R44" si="307">A37*D37</f>
        <v>0</v>
      </c>
      <c r="S37" s="198">
        <f t="shared" ref="S37:S44" si="308">IF($A37=0,0,$A37*E37/$A37)</f>
        <v>0</v>
      </c>
      <c r="T37" s="198">
        <f t="shared" ref="T37:T44" si="309">IF($A37=0,0,$A37*F37/$A37)</f>
        <v>0</v>
      </c>
      <c r="U37" s="198">
        <f t="shared" ref="U37:U44" si="310">IF($A37=0,0,$A37*G37/$A37)</f>
        <v>0</v>
      </c>
      <c r="V37" s="198">
        <f t="shared" ref="V37:V44" si="311">IF($A37=0,0,$A37*H37/$A37)</f>
        <v>0</v>
      </c>
      <c r="W37" s="198">
        <f t="shared" ref="W37:W44" si="312">IF($A37=0,0,$A37*I37/$A37)</f>
        <v>0</v>
      </c>
      <c r="X37" s="198">
        <f t="shared" ref="X37:X44" si="313">IF($A37=0,0,$A37*J37/$A37)</f>
        <v>0</v>
      </c>
      <c r="Y37" s="198">
        <f t="shared" ref="Y37:Y44" si="314">IF($A37=0,0,$A37*K37/$A37)</f>
        <v>0</v>
      </c>
      <c r="Z37" s="198">
        <f t="shared" ref="Z37:Z44" si="315">IF($A37=0,0,$A37*L37/$A37)</f>
        <v>0</v>
      </c>
      <c r="AA37" s="198">
        <f t="shared" ref="AA37:AA44" si="316">IF($A37=0,0,$A37*M37)</f>
        <v>0</v>
      </c>
      <c r="AB37" s="198">
        <f t="shared" ref="AB37:AB44" si="317">IF($A37=0,0,$A37*N37)</f>
        <v>0</v>
      </c>
      <c r="AC37" s="198">
        <f t="shared" ref="AC37:AC44" si="318">IF($A37=0,0,O37)</f>
        <v>0</v>
      </c>
      <c r="AD37" s="198">
        <f t="shared" ref="AD37:AD44" si="319">IF($A37=0,0,$A37*P37)</f>
        <v>0</v>
      </c>
      <c r="AE37" s="198">
        <f t="shared" ref="AE37:AE44" si="320">IF(Q37=0,0,Q37/$Q$46)</f>
        <v>0</v>
      </c>
      <c r="AF37" s="218">
        <f t="shared" ref="AF37:AF44" si="321">Q37</f>
        <v>0</v>
      </c>
      <c r="AG37" s="219">
        <f t="shared" ref="AG37:AG44" si="322">R37</f>
        <v>0</v>
      </c>
      <c r="AH37" s="221">
        <f t="shared" ref="AH37:AH44" si="323">S37*$AE37</f>
        <v>0</v>
      </c>
      <c r="AI37" s="221">
        <f t="shared" ref="AI37:AI44" si="324">T37*$AE37</f>
        <v>0</v>
      </c>
      <c r="AJ37" s="221">
        <f t="shared" ref="AJ37:AJ44" si="325">U37*$AE37</f>
        <v>0</v>
      </c>
      <c r="AK37" s="221">
        <f t="shared" ref="AK37:AK44" si="326">V37*$AE37</f>
        <v>0</v>
      </c>
      <c r="AL37" s="221">
        <f t="shared" ref="AL37:AL44" si="327">W37*$AE37</f>
        <v>0</v>
      </c>
      <c r="AM37" s="221">
        <f t="shared" ref="AM37:AM44" si="328">X37*$AE37</f>
        <v>0</v>
      </c>
      <c r="AN37" s="221">
        <f t="shared" ref="AN37:AN44" si="329">Y37*$AE37</f>
        <v>0</v>
      </c>
      <c r="AO37" s="221">
        <f t="shared" ref="AO37:AO44" si="330">Z37*$AE37</f>
        <v>0</v>
      </c>
      <c r="AP37" s="220">
        <f t="shared" ref="AP37:AP44" si="331">AA37</f>
        <v>0</v>
      </c>
      <c r="AQ37" s="220">
        <f t="shared" ref="AQ37:AQ44" si="332">AB37</f>
        <v>0</v>
      </c>
      <c r="AR37" s="198">
        <f t="shared" ref="AR37:AR44" si="333">AC37*$AE37</f>
        <v>0</v>
      </c>
      <c r="AS37" s="198">
        <f t="shared" ref="AS37:AS44" si="334">AD37*$AE37</f>
        <v>0</v>
      </c>
    </row>
    <row r="38" spans="1:45">
      <c r="A38" s="435"/>
      <c r="B38" s="242" t="str">
        <f>data!A65</f>
        <v>PUMY-36NKMU1 (Ducted)</v>
      </c>
      <c r="C38" s="203">
        <f>data!B65</f>
        <v>36000</v>
      </c>
      <c r="D38" s="203">
        <f>data!C65</f>
        <v>42000</v>
      </c>
      <c r="E38" s="204">
        <f>data!D65</f>
        <v>3.6</v>
      </c>
      <c r="F38" s="204">
        <f>data!E65</f>
        <v>2.8376969649310766</v>
      </c>
      <c r="G38" s="204">
        <f>data!F65</f>
        <v>3.0334002038918406</v>
      </c>
      <c r="H38" s="204">
        <f>data!G65</f>
        <v>3.6928487690504102</v>
      </c>
      <c r="I38" s="204">
        <f>data!H65</f>
        <v>4.5720984759671746</v>
      </c>
      <c r="J38" s="204">
        <f>data!I65</f>
        <v>15.6</v>
      </c>
      <c r="K38" s="204">
        <f>data!J65</f>
        <v>12.6</v>
      </c>
      <c r="L38" s="197">
        <f>data!K65</f>
        <v>0.1</v>
      </c>
      <c r="M38" s="203">
        <f>data!L65</f>
        <v>30240</v>
      </c>
      <c r="N38" s="203">
        <f>data!M65</f>
        <v>25200</v>
      </c>
      <c r="O38" s="205">
        <f>data!P65</f>
        <v>0</v>
      </c>
      <c r="P38" s="205">
        <f>data!Q65</f>
        <v>0</v>
      </c>
      <c r="Q38" s="206">
        <f t="shared" si="306"/>
        <v>0</v>
      </c>
      <c r="R38" s="207">
        <f t="shared" si="307"/>
        <v>0</v>
      </c>
      <c r="S38" s="198">
        <f t="shared" si="308"/>
        <v>0</v>
      </c>
      <c r="T38" s="198">
        <f t="shared" si="309"/>
        <v>0</v>
      </c>
      <c r="U38" s="198">
        <f t="shared" si="310"/>
        <v>0</v>
      </c>
      <c r="V38" s="198">
        <f t="shared" si="311"/>
        <v>0</v>
      </c>
      <c r="W38" s="198">
        <f t="shared" si="312"/>
        <v>0</v>
      </c>
      <c r="X38" s="198">
        <f t="shared" si="313"/>
        <v>0</v>
      </c>
      <c r="Y38" s="198">
        <f t="shared" si="314"/>
        <v>0</v>
      </c>
      <c r="Z38" s="198">
        <f t="shared" si="315"/>
        <v>0</v>
      </c>
      <c r="AA38" s="198">
        <f t="shared" si="316"/>
        <v>0</v>
      </c>
      <c r="AB38" s="198">
        <f t="shared" si="317"/>
        <v>0</v>
      </c>
      <c r="AC38" s="198">
        <f t="shared" si="318"/>
        <v>0</v>
      </c>
      <c r="AD38" s="198">
        <f t="shared" si="319"/>
        <v>0</v>
      </c>
      <c r="AE38" s="198">
        <f t="shared" si="320"/>
        <v>0</v>
      </c>
      <c r="AF38" s="218">
        <f t="shared" si="321"/>
        <v>0</v>
      </c>
      <c r="AG38" s="219">
        <f t="shared" si="322"/>
        <v>0</v>
      </c>
      <c r="AH38" s="221">
        <f t="shared" si="323"/>
        <v>0</v>
      </c>
      <c r="AI38" s="221">
        <f t="shared" si="324"/>
        <v>0</v>
      </c>
      <c r="AJ38" s="221">
        <f t="shared" si="325"/>
        <v>0</v>
      </c>
      <c r="AK38" s="221">
        <f t="shared" si="326"/>
        <v>0</v>
      </c>
      <c r="AL38" s="221">
        <f t="shared" si="327"/>
        <v>0</v>
      </c>
      <c r="AM38" s="221">
        <f t="shared" si="328"/>
        <v>0</v>
      </c>
      <c r="AN38" s="221">
        <f t="shared" si="329"/>
        <v>0</v>
      </c>
      <c r="AO38" s="221">
        <f t="shared" si="330"/>
        <v>0</v>
      </c>
      <c r="AP38" s="220">
        <f t="shared" si="331"/>
        <v>0</v>
      </c>
      <c r="AQ38" s="220">
        <f t="shared" si="332"/>
        <v>0</v>
      </c>
      <c r="AR38" s="198">
        <f t="shared" si="333"/>
        <v>0</v>
      </c>
      <c r="AS38" s="198">
        <f t="shared" si="334"/>
        <v>0</v>
      </c>
    </row>
    <row r="39" spans="1:45">
      <c r="A39" s="435"/>
      <c r="B39" s="242" t="str">
        <f>data!A66</f>
        <v>PUMY-48NKMU1 (Non-Ducted)</v>
      </c>
      <c r="C39" s="203">
        <f>data!B66</f>
        <v>48000</v>
      </c>
      <c r="D39" s="203">
        <f>data!C66</f>
        <v>54000</v>
      </c>
      <c r="E39" s="204">
        <f>data!D66</f>
        <v>3.8</v>
      </c>
      <c r="F39" s="204">
        <f>data!E66</f>
        <v>2.9994541271215871</v>
      </c>
      <c r="G39" s="204">
        <f>data!F66</f>
        <v>3.2063130324403177</v>
      </c>
      <c r="H39" s="204">
        <f>data!G66</f>
        <v>3.6928487690504102</v>
      </c>
      <c r="I39" s="204">
        <f>data!H66</f>
        <v>5.9202813599062134</v>
      </c>
      <c r="J39" s="204">
        <f>data!I66</f>
        <v>20.2</v>
      </c>
      <c r="K39" s="204">
        <f>data!J66</f>
        <v>12.6</v>
      </c>
      <c r="L39" s="197">
        <f>data!K66</f>
        <v>0.05</v>
      </c>
      <c r="M39" s="203">
        <f>data!L66</f>
        <v>38880</v>
      </c>
      <c r="N39" s="203">
        <f>data!M66</f>
        <v>32400</v>
      </c>
      <c r="O39" s="205">
        <f>data!P66</f>
        <v>0</v>
      </c>
      <c r="P39" s="205">
        <f>data!Q66</f>
        <v>0</v>
      </c>
      <c r="Q39" s="206">
        <f t="shared" si="306"/>
        <v>0</v>
      </c>
      <c r="R39" s="207">
        <f t="shared" si="307"/>
        <v>0</v>
      </c>
      <c r="S39" s="198">
        <f t="shared" si="308"/>
        <v>0</v>
      </c>
      <c r="T39" s="198">
        <f t="shared" si="309"/>
        <v>0</v>
      </c>
      <c r="U39" s="198">
        <f t="shared" si="310"/>
        <v>0</v>
      </c>
      <c r="V39" s="198">
        <f t="shared" si="311"/>
        <v>0</v>
      </c>
      <c r="W39" s="198">
        <f t="shared" si="312"/>
        <v>0</v>
      </c>
      <c r="X39" s="198">
        <f t="shared" si="313"/>
        <v>0</v>
      </c>
      <c r="Y39" s="198">
        <f t="shared" si="314"/>
        <v>0</v>
      </c>
      <c r="Z39" s="198">
        <f t="shared" si="315"/>
        <v>0</v>
      </c>
      <c r="AA39" s="198">
        <f t="shared" si="316"/>
        <v>0</v>
      </c>
      <c r="AB39" s="198">
        <f t="shared" si="317"/>
        <v>0</v>
      </c>
      <c r="AC39" s="198">
        <f t="shared" si="318"/>
        <v>0</v>
      </c>
      <c r="AD39" s="198">
        <f t="shared" si="319"/>
        <v>0</v>
      </c>
      <c r="AE39" s="198">
        <f t="shared" si="320"/>
        <v>0</v>
      </c>
      <c r="AF39" s="218">
        <f t="shared" si="321"/>
        <v>0</v>
      </c>
      <c r="AG39" s="219">
        <f t="shared" si="322"/>
        <v>0</v>
      </c>
      <c r="AH39" s="221">
        <f t="shared" si="323"/>
        <v>0</v>
      </c>
      <c r="AI39" s="221">
        <f t="shared" si="324"/>
        <v>0</v>
      </c>
      <c r="AJ39" s="221">
        <f t="shared" si="325"/>
        <v>0</v>
      </c>
      <c r="AK39" s="221">
        <f t="shared" si="326"/>
        <v>0</v>
      </c>
      <c r="AL39" s="221">
        <f t="shared" si="327"/>
        <v>0</v>
      </c>
      <c r="AM39" s="221">
        <f t="shared" si="328"/>
        <v>0</v>
      </c>
      <c r="AN39" s="221">
        <f t="shared" si="329"/>
        <v>0</v>
      </c>
      <c r="AO39" s="221">
        <f t="shared" si="330"/>
        <v>0</v>
      </c>
      <c r="AP39" s="220">
        <f t="shared" si="331"/>
        <v>0</v>
      </c>
      <c r="AQ39" s="220">
        <f t="shared" si="332"/>
        <v>0</v>
      </c>
      <c r="AR39" s="198">
        <f t="shared" si="333"/>
        <v>0</v>
      </c>
      <c r="AS39" s="198">
        <f t="shared" si="334"/>
        <v>0</v>
      </c>
    </row>
    <row r="40" spans="1:45">
      <c r="A40" s="435"/>
      <c r="B40" s="242" t="str">
        <f>data!A67</f>
        <v>PUMY-48NKMU1 (Mixed)</v>
      </c>
      <c r="C40" s="203">
        <f>data!B67</f>
        <v>48000</v>
      </c>
      <c r="D40" s="203">
        <f>data!C67</f>
        <v>54000</v>
      </c>
      <c r="E40" s="204">
        <f>data!D67</f>
        <v>3.55</v>
      </c>
      <c r="F40" s="204">
        <f>data!E67</f>
        <v>2.8021216187583247</v>
      </c>
      <c r="G40" s="204">
        <f>data!F67</f>
        <v>2.9953713855692445</v>
      </c>
      <c r="H40" s="204">
        <f>data!G67</f>
        <v>3.5023446658851114</v>
      </c>
      <c r="I40" s="204">
        <f>data!H67</f>
        <v>5.3780773739742092</v>
      </c>
      <c r="J40" s="204">
        <f>data!I67</f>
        <v>18.350000000000001</v>
      </c>
      <c r="K40" s="204">
        <f>data!J67</f>
        <v>11.95</v>
      </c>
      <c r="L40" s="197">
        <f>data!K67</f>
        <v>7.5000000000000011E-2</v>
      </c>
      <c r="M40" s="203">
        <f>data!L67</f>
        <v>38880</v>
      </c>
      <c r="N40" s="203">
        <f>data!M67</f>
        <v>32400</v>
      </c>
      <c r="O40" s="205">
        <f>data!P67</f>
        <v>0</v>
      </c>
      <c r="P40" s="205">
        <f>data!Q67</f>
        <v>0</v>
      </c>
      <c r="Q40" s="206">
        <f t="shared" si="306"/>
        <v>0</v>
      </c>
      <c r="R40" s="207">
        <f t="shared" si="307"/>
        <v>0</v>
      </c>
      <c r="S40" s="198">
        <f t="shared" si="308"/>
        <v>0</v>
      </c>
      <c r="T40" s="198">
        <f t="shared" si="309"/>
        <v>0</v>
      </c>
      <c r="U40" s="198">
        <f t="shared" si="310"/>
        <v>0</v>
      </c>
      <c r="V40" s="198">
        <f t="shared" si="311"/>
        <v>0</v>
      </c>
      <c r="W40" s="198">
        <f t="shared" si="312"/>
        <v>0</v>
      </c>
      <c r="X40" s="198">
        <f t="shared" si="313"/>
        <v>0</v>
      </c>
      <c r="Y40" s="198">
        <f t="shared" si="314"/>
        <v>0</v>
      </c>
      <c r="Z40" s="198">
        <f t="shared" si="315"/>
        <v>0</v>
      </c>
      <c r="AA40" s="198">
        <f t="shared" si="316"/>
        <v>0</v>
      </c>
      <c r="AB40" s="198">
        <f t="shared" si="317"/>
        <v>0</v>
      </c>
      <c r="AC40" s="198">
        <f t="shared" si="318"/>
        <v>0</v>
      </c>
      <c r="AD40" s="198">
        <f t="shared" si="319"/>
        <v>0</v>
      </c>
      <c r="AE40" s="198">
        <f t="shared" si="320"/>
        <v>0</v>
      </c>
      <c r="AF40" s="218">
        <f t="shared" si="321"/>
        <v>0</v>
      </c>
      <c r="AG40" s="219">
        <f t="shared" si="322"/>
        <v>0</v>
      </c>
      <c r="AH40" s="221">
        <f t="shared" si="323"/>
        <v>0</v>
      </c>
      <c r="AI40" s="221">
        <f t="shared" si="324"/>
        <v>0</v>
      </c>
      <c r="AJ40" s="221">
        <f t="shared" si="325"/>
        <v>0</v>
      </c>
      <c r="AK40" s="221">
        <f t="shared" si="326"/>
        <v>0</v>
      </c>
      <c r="AL40" s="221">
        <f t="shared" si="327"/>
        <v>0</v>
      </c>
      <c r="AM40" s="221">
        <f t="shared" si="328"/>
        <v>0</v>
      </c>
      <c r="AN40" s="221">
        <f t="shared" si="329"/>
        <v>0</v>
      </c>
      <c r="AO40" s="221">
        <f t="shared" si="330"/>
        <v>0</v>
      </c>
      <c r="AP40" s="220">
        <f t="shared" si="331"/>
        <v>0</v>
      </c>
      <c r="AQ40" s="220">
        <f t="shared" si="332"/>
        <v>0</v>
      </c>
      <c r="AR40" s="198">
        <f t="shared" si="333"/>
        <v>0</v>
      </c>
      <c r="AS40" s="198">
        <f t="shared" si="334"/>
        <v>0</v>
      </c>
    </row>
    <row r="41" spans="1:45">
      <c r="A41" s="435"/>
      <c r="B41" s="242" t="str">
        <f>data!A68</f>
        <v>PUMY-48NKMU1 (Ducted)</v>
      </c>
      <c r="C41" s="203">
        <f>data!B68</f>
        <v>48000</v>
      </c>
      <c r="D41" s="203">
        <f>data!C68</f>
        <v>54000</v>
      </c>
      <c r="E41" s="204">
        <f>data!D68</f>
        <v>3.3</v>
      </c>
      <c r="F41" s="204">
        <f>data!E68</f>
        <v>2.6047891103950622</v>
      </c>
      <c r="G41" s="204">
        <f>data!F68</f>
        <v>2.7844297386981709</v>
      </c>
      <c r="H41" s="204">
        <f>data!G68</f>
        <v>3.3118405627198126</v>
      </c>
      <c r="I41" s="204">
        <f>data!H68</f>
        <v>4.835873388042204</v>
      </c>
      <c r="J41" s="204">
        <f>data!I68</f>
        <v>16.5</v>
      </c>
      <c r="K41" s="204">
        <f>data!J68</f>
        <v>11.3</v>
      </c>
      <c r="L41" s="197">
        <f>data!K68</f>
        <v>0.1</v>
      </c>
      <c r="M41" s="203">
        <f>data!L68</f>
        <v>38880</v>
      </c>
      <c r="N41" s="203">
        <f>data!M68</f>
        <v>32400</v>
      </c>
      <c r="O41" s="205">
        <f>data!P68</f>
        <v>0</v>
      </c>
      <c r="P41" s="205">
        <f>data!Q68</f>
        <v>0</v>
      </c>
      <c r="Q41" s="206">
        <f t="shared" si="306"/>
        <v>0</v>
      </c>
      <c r="R41" s="207">
        <f t="shared" si="307"/>
        <v>0</v>
      </c>
      <c r="S41" s="198">
        <f t="shared" si="308"/>
        <v>0</v>
      </c>
      <c r="T41" s="198">
        <f t="shared" si="309"/>
        <v>0</v>
      </c>
      <c r="U41" s="198">
        <f t="shared" si="310"/>
        <v>0</v>
      </c>
      <c r="V41" s="198">
        <f t="shared" si="311"/>
        <v>0</v>
      </c>
      <c r="W41" s="198">
        <f t="shared" si="312"/>
        <v>0</v>
      </c>
      <c r="X41" s="198">
        <f t="shared" si="313"/>
        <v>0</v>
      </c>
      <c r="Y41" s="198">
        <f t="shared" si="314"/>
        <v>0</v>
      </c>
      <c r="Z41" s="198">
        <f t="shared" si="315"/>
        <v>0</v>
      </c>
      <c r="AA41" s="198">
        <f t="shared" si="316"/>
        <v>0</v>
      </c>
      <c r="AB41" s="198">
        <f t="shared" si="317"/>
        <v>0</v>
      </c>
      <c r="AC41" s="198">
        <f t="shared" si="318"/>
        <v>0</v>
      </c>
      <c r="AD41" s="198">
        <f t="shared" si="319"/>
        <v>0</v>
      </c>
      <c r="AE41" s="198">
        <f t="shared" si="320"/>
        <v>0</v>
      </c>
      <c r="AF41" s="218">
        <f t="shared" si="321"/>
        <v>0</v>
      </c>
      <c r="AG41" s="219">
        <f t="shared" si="322"/>
        <v>0</v>
      </c>
      <c r="AH41" s="221">
        <f t="shared" si="323"/>
        <v>0</v>
      </c>
      <c r="AI41" s="221">
        <f t="shared" si="324"/>
        <v>0</v>
      </c>
      <c r="AJ41" s="221">
        <f t="shared" si="325"/>
        <v>0</v>
      </c>
      <c r="AK41" s="221">
        <f t="shared" si="326"/>
        <v>0</v>
      </c>
      <c r="AL41" s="221">
        <f t="shared" si="327"/>
        <v>0</v>
      </c>
      <c r="AM41" s="221">
        <f t="shared" si="328"/>
        <v>0</v>
      </c>
      <c r="AN41" s="221">
        <f t="shared" si="329"/>
        <v>0</v>
      </c>
      <c r="AO41" s="221">
        <f t="shared" si="330"/>
        <v>0</v>
      </c>
      <c r="AP41" s="220">
        <f t="shared" si="331"/>
        <v>0</v>
      </c>
      <c r="AQ41" s="220">
        <f t="shared" si="332"/>
        <v>0</v>
      </c>
      <c r="AR41" s="198">
        <f t="shared" si="333"/>
        <v>0</v>
      </c>
      <c r="AS41" s="198">
        <f t="shared" si="334"/>
        <v>0</v>
      </c>
    </row>
    <row r="42" spans="1:45">
      <c r="A42" s="435"/>
      <c r="B42" s="242" t="str">
        <f>data!A69</f>
        <v>PUMY-60NKMU1 (Non-Ducted)</v>
      </c>
      <c r="C42" s="203">
        <f>data!B69</f>
        <v>60000</v>
      </c>
      <c r="D42" s="203">
        <f>data!C69</f>
        <v>66000</v>
      </c>
      <c r="E42" s="204">
        <f>data!D69</f>
        <v>3.7</v>
      </c>
      <c r="F42" s="204">
        <f>data!E69</f>
        <v>2.5254384665852019</v>
      </c>
      <c r="G42" s="204">
        <f>data!F69</f>
        <v>2.9577207266313175</v>
      </c>
      <c r="H42" s="204">
        <f>data!G69</f>
        <v>3.6635404454865181</v>
      </c>
      <c r="I42" s="204">
        <f>data!H69</f>
        <v>5.4513481828839394</v>
      </c>
      <c r="J42" s="204">
        <f>data!I69</f>
        <v>18.600000000000001</v>
      </c>
      <c r="K42" s="204">
        <f>data!J69</f>
        <v>12.5</v>
      </c>
      <c r="L42" s="197">
        <f>data!K69</f>
        <v>0.05</v>
      </c>
      <c r="M42" s="203">
        <f>data!L69</f>
        <v>48840</v>
      </c>
      <c r="N42" s="203">
        <f>data!M69</f>
        <v>39600</v>
      </c>
      <c r="O42" s="205">
        <f>data!P69</f>
        <v>0</v>
      </c>
      <c r="P42" s="205">
        <f>data!Q69</f>
        <v>0</v>
      </c>
      <c r="Q42" s="206">
        <f t="shared" si="306"/>
        <v>0</v>
      </c>
      <c r="R42" s="207">
        <f t="shared" si="307"/>
        <v>0</v>
      </c>
      <c r="S42" s="198">
        <f t="shared" si="308"/>
        <v>0</v>
      </c>
      <c r="T42" s="198">
        <f t="shared" si="309"/>
        <v>0</v>
      </c>
      <c r="U42" s="198">
        <f t="shared" si="310"/>
        <v>0</v>
      </c>
      <c r="V42" s="198">
        <f t="shared" si="311"/>
        <v>0</v>
      </c>
      <c r="W42" s="198">
        <f t="shared" si="312"/>
        <v>0</v>
      </c>
      <c r="X42" s="198">
        <f t="shared" si="313"/>
        <v>0</v>
      </c>
      <c r="Y42" s="198">
        <f t="shared" si="314"/>
        <v>0</v>
      </c>
      <c r="Z42" s="198">
        <f t="shared" si="315"/>
        <v>0</v>
      </c>
      <c r="AA42" s="198">
        <f t="shared" si="316"/>
        <v>0</v>
      </c>
      <c r="AB42" s="198">
        <f t="shared" si="317"/>
        <v>0</v>
      </c>
      <c r="AC42" s="198">
        <f t="shared" si="318"/>
        <v>0</v>
      </c>
      <c r="AD42" s="198">
        <f t="shared" si="319"/>
        <v>0</v>
      </c>
      <c r="AE42" s="198">
        <f t="shared" si="320"/>
        <v>0</v>
      </c>
      <c r="AF42" s="218">
        <f t="shared" si="321"/>
        <v>0</v>
      </c>
      <c r="AG42" s="219">
        <f t="shared" si="322"/>
        <v>0</v>
      </c>
      <c r="AH42" s="221">
        <f t="shared" si="323"/>
        <v>0</v>
      </c>
      <c r="AI42" s="221">
        <f t="shared" si="324"/>
        <v>0</v>
      </c>
      <c r="AJ42" s="221">
        <f t="shared" si="325"/>
        <v>0</v>
      </c>
      <c r="AK42" s="221">
        <f t="shared" si="326"/>
        <v>0</v>
      </c>
      <c r="AL42" s="221">
        <f t="shared" si="327"/>
        <v>0</v>
      </c>
      <c r="AM42" s="221">
        <f t="shared" si="328"/>
        <v>0</v>
      </c>
      <c r="AN42" s="221">
        <f t="shared" si="329"/>
        <v>0</v>
      </c>
      <c r="AO42" s="221">
        <f t="shared" si="330"/>
        <v>0</v>
      </c>
      <c r="AP42" s="220">
        <f t="shared" si="331"/>
        <v>0</v>
      </c>
      <c r="AQ42" s="220">
        <f t="shared" si="332"/>
        <v>0</v>
      </c>
      <c r="AR42" s="198">
        <f t="shared" si="333"/>
        <v>0</v>
      </c>
      <c r="AS42" s="198">
        <f t="shared" si="334"/>
        <v>0</v>
      </c>
    </row>
    <row r="43" spans="1:45">
      <c r="A43" s="435"/>
      <c r="B43" s="242" t="str">
        <f>data!A70</f>
        <v>PUMY-60NKMU1 (Mixed)</v>
      </c>
      <c r="C43" s="203">
        <f>data!B70</f>
        <v>60000</v>
      </c>
      <c r="D43" s="203">
        <f>data!C70</f>
        <v>66000</v>
      </c>
      <c r="E43" s="204">
        <f>data!D70</f>
        <v>3.6</v>
      </c>
      <c r="F43" s="204">
        <f>data!E70</f>
        <v>2.4571833728937102</v>
      </c>
      <c r="G43" s="204">
        <f>data!F70</f>
        <v>2.8777823286142548</v>
      </c>
      <c r="H43" s="204">
        <f>data!G70</f>
        <v>3.4583821805392736</v>
      </c>
      <c r="I43" s="204">
        <f>data!H70</f>
        <v>5.2168815943728024</v>
      </c>
      <c r="J43" s="204">
        <f>data!I70</f>
        <v>17.8</v>
      </c>
      <c r="K43" s="204">
        <f>data!J70</f>
        <v>11.8</v>
      </c>
      <c r="L43" s="197">
        <f>data!K70</f>
        <v>7.5000000000000011E-2</v>
      </c>
      <c r="M43" s="203">
        <f>data!L70</f>
        <v>48840</v>
      </c>
      <c r="N43" s="203">
        <f>data!M70</f>
        <v>39600</v>
      </c>
      <c r="O43" s="205">
        <f>data!P70</f>
        <v>0</v>
      </c>
      <c r="P43" s="205">
        <f>data!Q70</f>
        <v>0</v>
      </c>
      <c r="Q43" s="206">
        <f t="shared" si="306"/>
        <v>0</v>
      </c>
      <c r="R43" s="207">
        <f t="shared" si="307"/>
        <v>0</v>
      </c>
      <c r="S43" s="198">
        <f t="shared" si="308"/>
        <v>0</v>
      </c>
      <c r="T43" s="198">
        <f t="shared" si="309"/>
        <v>0</v>
      </c>
      <c r="U43" s="198">
        <f t="shared" si="310"/>
        <v>0</v>
      </c>
      <c r="V43" s="198">
        <f t="shared" si="311"/>
        <v>0</v>
      </c>
      <c r="W43" s="198">
        <f t="shared" si="312"/>
        <v>0</v>
      </c>
      <c r="X43" s="198">
        <f t="shared" si="313"/>
        <v>0</v>
      </c>
      <c r="Y43" s="198">
        <f t="shared" si="314"/>
        <v>0</v>
      </c>
      <c r="Z43" s="198">
        <f t="shared" si="315"/>
        <v>0</v>
      </c>
      <c r="AA43" s="198">
        <f t="shared" si="316"/>
        <v>0</v>
      </c>
      <c r="AB43" s="198">
        <f t="shared" si="317"/>
        <v>0</v>
      </c>
      <c r="AC43" s="198">
        <f t="shared" si="318"/>
        <v>0</v>
      </c>
      <c r="AD43" s="198">
        <f t="shared" si="319"/>
        <v>0</v>
      </c>
      <c r="AE43" s="198">
        <f t="shared" si="320"/>
        <v>0</v>
      </c>
      <c r="AF43" s="218">
        <f t="shared" si="321"/>
        <v>0</v>
      </c>
      <c r="AG43" s="219">
        <f t="shared" si="322"/>
        <v>0</v>
      </c>
      <c r="AH43" s="221">
        <f t="shared" si="323"/>
        <v>0</v>
      </c>
      <c r="AI43" s="221">
        <f t="shared" si="324"/>
        <v>0</v>
      </c>
      <c r="AJ43" s="221">
        <f t="shared" si="325"/>
        <v>0</v>
      </c>
      <c r="AK43" s="221">
        <f t="shared" si="326"/>
        <v>0</v>
      </c>
      <c r="AL43" s="221">
        <f t="shared" si="327"/>
        <v>0</v>
      </c>
      <c r="AM43" s="221">
        <f t="shared" si="328"/>
        <v>0</v>
      </c>
      <c r="AN43" s="221">
        <f t="shared" si="329"/>
        <v>0</v>
      </c>
      <c r="AO43" s="221">
        <f t="shared" si="330"/>
        <v>0</v>
      </c>
      <c r="AP43" s="220">
        <f t="shared" si="331"/>
        <v>0</v>
      </c>
      <c r="AQ43" s="220">
        <f t="shared" si="332"/>
        <v>0</v>
      </c>
      <c r="AR43" s="198">
        <f t="shared" si="333"/>
        <v>0</v>
      </c>
      <c r="AS43" s="198">
        <f t="shared" si="334"/>
        <v>0</v>
      </c>
    </row>
    <row r="44" spans="1:45" ht="15" thickBot="1">
      <c r="A44" s="241"/>
      <c r="B44" s="243" t="str">
        <f>data!A71</f>
        <v>PUMY-60NKMU1 (Ducted)</v>
      </c>
      <c r="C44" s="203">
        <f>data!B71</f>
        <v>60000</v>
      </c>
      <c r="D44" s="203">
        <f>data!C71</f>
        <v>66000</v>
      </c>
      <c r="E44" s="204">
        <f>data!D71</f>
        <v>3.5</v>
      </c>
      <c r="F44" s="204">
        <f>data!E71</f>
        <v>2.3889282792022182</v>
      </c>
      <c r="G44" s="204">
        <f>data!F71</f>
        <v>2.7978439305971921</v>
      </c>
      <c r="H44" s="204">
        <f>data!G71</f>
        <v>3.2532239155920282</v>
      </c>
      <c r="I44" s="204">
        <f>data!H71</f>
        <v>4.9824150058616645</v>
      </c>
      <c r="J44" s="204">
        <f>data!I71</f>
        <v>17</v>
      </c>
      <c r="K44" s="204">
        <f>data!J71</f>
        <v>11.1</v>
      </c>
      <c r="L44" s="197">
        <f>data!K71</f>
        <v>0.1</v>
      </c>
      <c r="M44" s="203">
        <f>data!L71</f>
        <v>48840</v>
      </c>
      <c r="N44" s="203">
        <f>data!M71</f>
        <v>39600</v>
      </c>
      <c r="O44" s="205">
        <f>data!P71</f>
        <v>0</v>
      </c>
      <c r="P44" s="205">
        <f>data!Q71</f>
        <v>0</v>
      </c>
      <c r="Q44" s="206">
        <f t="shared" si="306"/>
        <v>0</v>
      </c>
      <c r="R44" s="207">
        <f t="shared" si="307"/>
        <v>0</v>
      </c>
      <c r="S44" s="198">
        <f t="shared" si="308"/>
        <v>0</v>
      </c>
      <c r="T44" s="198">
        <f t="shared" si="309"/>
        <v>0</v>
      </c>
      <c r="U44" s="198">
        <f t="shared" si="310"/>
        <v>0</v>
      </c>
      <c r="V44" s="198">
        <f t="shared" si="311"/>
        <v>0</v>
      </c>
      <c r="W44" s="198">
        <f t="shared" si="312"/>
        <v>0</v>
      </c>
      <c r="X44" s="198">
        <f t="shared" si="313"/>
        <v>0</v>
      </c>
      <c r="Y44" s="198">
        <f t="shared" si="314"/>
        <v>0</v>
      </c>
      <c r="Z44" s="198">
        <f t="shared" si="315"/>
        <v>0</v>
      </c>
      <c r="AA44" s="198">
        <f t="shared" si="316"/>
        <v>0</v>
      </c>
      <c r="AB44" s="198">
        <f t="shared" si="317"/>
        <v>0</v>
      </c>
      <c r="AC44" s="198">
        <f t="shared" si="318"/>
        <v>0</v>
      </c>
      <c r="AD44" s="198">
        <f t="shared" si="319"/>
        <v>0</v>
      </c>
      <c r="AE44" s="198">
        <f t="shared" si="320"/>
        <v>0</v>
      </c>
      <c r="AF44" s="218">
        <f t="shared" si="321"/>
        <v>0</v>
      </c>
      <c r="AG44" s="219">
        <f t="shared" si="322"/>
        <v>0</v>
      </c>
      <c r="AH44" s="221">
        <f t="shared" si="323"/>
        <v>0</v>
      </c>
      <c r="AI44" s="221">
        <f t="shared" si="324"/>
        <v>0</v>
      </c>
      <c r="AJ44" s="221">
        <f t="shared" si="325"/>
        <v>0</v>
      </c>
      <c r="AK44" s="221">
        <f t="shared" si="326"/>
        <v>0</v>
      </c>
      <c r="AL44" s="221">
        <f t="shared" si="327"/>
        <v>0</v>
      </c>
      <c r="AM44" s="221">
        <f t="shared" si="328"/>
        <v>0</v>
      </c>
      <c r="AN44" s="221">
        <f t="shared" si="329"/>
        <v>0</v>
      </c>
      <c r="AO44" s="221">
        <f t="shared" si="330"/>
        <v>0</v>
      </c>
      <c r="AP44" s="220">
        <f t="shared" si="331"/>
        <v>0</v>
      </c>
      <c r="AQ44" s="220">
        <f t="shared" si="332"/>
        <v>0</v>
      </c>
      <c r="AR44" s="198">
        <f t="shared" si="333"/>
        <v>0</v>
      </c>
      <c r="AS44" s="198">
        <f t="shared" si="334"/>
        <v>0</v>
      </c>
    </row>
    <row r="45" spans="1:45" ht="15" hidden="1" thickTop="1">
      <c r="A45" s="208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9"/>
      <c r="P45" s="209"/>
      <c r="Q45" s="210"/>
      <c r="R45" s="211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16"/>
      <c r="AF45" s="222"/>
      <c r="AG45" s="225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spans="1:45" hidden="1">
      <c r="A46" s="212">
        <f>SUM(A3:A44)</f>
        <v>2</v>
      </c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4"/>
      <c r="P46" s="214"/>
      <c r="Q46" s="212">
        <f>SUM(Q3:Q44)</f>
        <v>49400</v>
      </c>
      <c r="R46" s="215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6"/>
      <c r="AF46" s="237">
        <f>SUM(AF3:AF44)</f>
        <v>49400</v>
      </c>
      <c r="AG46" s="233">
        <f t="shared" ref="AG46:AS46" si="335">SUM(AG3:AG44)</f>
        <v>54000</v>
      </c>
      <c r="AH46" s="234">
        <f t="shared" si="335"/>
        <v>3.4433198380566798</v>
      </c>
      <c r="AI46" s="234">
        <f t="shared" si="335"/>
        <v>2.7635222672064774</v>
      </c>
      <c r="AJ46" s="234">
        <f t="shared" si="335"/>
        <v>2.5677472889033011</v>
      </c>
      <c r="AK46" s="234">
        <f t="shared" si="335"/>
        <v>3.053998509665814</v>
      </c>
      <c r="AL46" s="234">
        <f t="shared" si="335"/>
        <v>5.8265421873739269</v>
      </c>
      <c r="AM46" s="235">
        <f t="shared" si="335"/>
        <v>19.880161943319838</v>
      </c>
      <c r="AN46" s="235">
        <f t="shared" si="335"/>
        <v>10.420242914979756</v>
      </c>
      <c r="AO46" s="234">
        <f t="shared" si="335"/>
        <v>8.0161943319838058E-2</v>
      </c>
      <c r="AP46" s="233">
        <f t="shared" si="335"/>
        <v>43000</v>
      </c>
      <c r="AQ46" s="233">
        <f t="shared" si="335"/>
        <v>32420</v>
      </c>
      <c r="AR46" s="236">
        <f t="shared" si="335"/>
        <v>1.0032388663967611</v>
      </c>
      <c r="AS46" s="236">
        <f t="shared" si="335"/>
        <v>0</v>
      </c>
    </row>
    <row r="47" spans="1:45" ht="15" thickTop="1"/>
  </sheetData>
  <sheetProtection password="D9D7" sheet="1" objects="1" scenarios="1" selectLockedCells="1"/>
  <mergeCells count="12">
    <mergeCell ref="C1:D1"/>
    <mergeCell ref="E1:I1"/>
    <mergeCell ref="J1:K1"/>
    <mergeCell ref="M1:N1"/>
    <mergeCell ref="Q1:R1"/>
    <mergeCell ref="AF1:AG1"/>
    <mergeCell ref="AH1:AL1"/>
    <mergeCell ref="AM1:AN1"/>
    <mergeCell ref="AP1:AQ1"/>
    <mergeCell ref="S1:W1"/>
    <mergeCell ref="X1:Y1"/>
    <mergeCell ref="AA1:AB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zoomScaleNormal="100" workbookViewId="0">
      <selection activeCell="A3" sqref="A3"/>
    </sheetView>
  </sheetViews>
  <sheetFormatPr defaultColWidth="9.1796875" defaultRowHeight="14.5"/>
  <cols>
    <col min="1" max="1" width="20.26953125" style="196" customWidth="1"/>
    <col min="2" max="2" width="29.26953125" style="196" customWidth="1"/>
    <col min="3" max="16" width="9.1796875" style="196" customWidth="1"/>
    <col min="17" max="31" width="9.1796875" style="196" hidden="1" customWidth="1"/>
    <col min="32" max="32" width="14.81640625" style="196" hidden="1" customWidth="1"/>
    <col min="33" max="40" width="9.1796875" style="196" hidden="1" customWidth="1"/>
    <col min="41" max="41" width="9.26953125" style="196" hidden="1" customWidth="1"/>
    <col min="42" max="43" width="11.453125" style="196" hidden="1" customWidth="1"/>
    <col min="44" max="45" width="9.1796875" style="196" hidden="1" customWidth="1"/>
    <col min="46" max="16384" width="9.1796875" style="196"/>
  </cols>
  <sheetData>
    <row r="1" spans="1:45" ht="15" thickBot="1">
      <c r="A1" s="198"/>
      <c r="B1" s="197"/>
      <c r="C1" s="481" t="s">
        <v>44</v>
      </c>
      <c r="D1" s="481"/>
      <c r="E1" s="481" t="s">
        <v>7</v>
      </c>
      <c r="F1" s="481"/>
      <c r="G1" s="481"/>
      <c r="H1" s="481"/>
      <c r="I1" s="481"/>
      <c r="J1" s="481" t="s">
        <v>45</v>
      </c>
      <c r="K1" s="481"/>
      <c r="L1" s="197"/>
      <c r="M1" s="481"/>
      <c r="N1" s="481"/>
      <c r="O1" s="198"/>
      <c r="P1" s="198"/>
      <c r="Q1" s="479" t="s">
        <v>44</v>
      </c>
      <c r="R1" s="480"/>
      <c r="S1" s="481" t="s">
        <v>7</v>
      </c>
      <c r="T1" s="481"/>
      <c r="U1" s="481"/>
      <c r="V1" s="481"/>
      <c r="W1" s="481"/>
      <c r="X1" s="481" t="s">
        <v>45</v>
      </c>
      <c r="Y1" s="481"/>
      <c r="Z1" s="197"/>
      <c r="AA1" s="481"/>
      <c r="AB1" s="481"/>
      <c r="AC1" s="198"/>
      <c r="AD1" s="198"/>
      <c r="AE1" s="216"/>
      <c r="AF1" s="479" t="s">
        <v>44</v>
      </c>
      <c r="AG1" s="480"/>
      <c r="AH1" s="481" t="s">
        <v>7</v>
      </c>
      <c r="AI1" s="481"/>
      <c r="AJ1" s="481"/>
      <c r="AK1" s="481"/>
      <c r="AL1" s="481"/>
      <c r="AM1" s="481" t="s">
        <v>45</v>
      </c>
      <c r="AN1" s="481"/>
      <c r="AO1" s="197"/>
      <c r="AP1" s="481"/>
      <c r="AQ1" s="481"/>
      <c r="AR1" s="198"/>
      <c r="AS1" s="198"/>
    </row>
    <row r="2" spans="1:45" ht="15" thickTop="1">
      <c r="A2" s="244" t="s">
        <v>282</v>
      </c>
      <c r="B2" s="245" t="s">
        <v>43</v>
      </c>
      <c r="C2" s="199" t="s">
        <v>22</v>
      </c>
      <c r="D2" s="199" t="s">
        <v>20</v>
      </c>
      <c r="E2" s="200">
        <v>47</v>
      </c>
      <c r="F2" s="200">
        <v>17</v>
      </c>
      <c r="G2" s="200">
        <v>5</v>
      </c>
      <c r="H2" s="200">
        <v>95</v>
      </c>
      <c r="I2" s="200" t="s">
        <v>23</v>
      </c>
      <c r="J2" s="197" t="s">
        <v>23</v>
      </c>
      <c r="K2" s="197" t="s">
        <v>24</v>
      </c>
      <c r="L2" s="197" t="s">
        <v>59</v>
      </c>
      <c r="M2" s="197">
        <v>17</v>
      </c>
      <c r="N2" s="197">
        <v>5</v>
      </c>
      <c r="O2" s="197" t="s">
        <v>153</v>
      </c>
      <c r="P2" s="197" t="s">
        <v>205</v>
      </c>
      <c r="Q2" s="201" t="s">
        <v>22</v>
      </c>
      <c r="R2" s="202" t="s">
        <v>20</v>
      </c>
      <c r="S2" s="200">
        <v>47</v>
      </c>
      <c r="T2" s="200">
        <v>17</v>
      </c>
      <c r="U2" s="200">
        <v>5</v>
      </c>
      <c r="V2" s="200">
        <v>95</v>
      </c>
      <c r="W2" s="200" t="s">
        <v>23</v>
      </c>
      <c r="X2" s="197" t="s">
        <v>23</v>
      </c>
      <c r="Y2" s="197" t="s">
        <v>24</v>
      </c>
      <c r="Z2" s="197" t="s">
        <v>59</v>
      </c>
      <c r="AA2" s="197">
        <v>17</v>
      </c>
      <c r="AB2" s="197">
        <v>5</v>
      </c>
      <c r="AC2" s="197" t="s">
        <v>153</v>
      </c>
      <c r="AD2" s="197" t="s">
        <v>205</v>
      </c>
      <c r="AE2" s="216"/>
      <c r="AF2" s="201" t="s">
        <v>22</v>
      </c>
      <c r="AG2" s="202" t="s">
        <v>20</v>
      </c>
      <c r="AH2" s="200">
        <v>47</v>
      </c>
      <c r="AI2" s="200">
        <v>17</v>
      </c>
      <c r="AJ2" s="200">
        <v>5</v>
      </c>
      <c r="AK2" s="200">
        <v>95</v>
      </c>
      <c r="AL2" s="200" t="s">
        <v>23</v>
      </c>
      <c r="AM2" s="197" t="s">
        <v>23</v>
      </c>
      <c r="AN2" s="197" t="s">
        <v>24</v>
      </c>
      <c r="AO2" s="197" t="s">
        <v>59</v>
      </c>
      <c r="AP2" s="197">
        <v>17</v>
      </c>
      <c r="AQ2" s="197">
        <v>5</v>
      </c>
      <c r="AR2" s="197" t="s">
        <v>153</v>
      </c>
      <c r="AS2" s="197" t="s">
        <v>205</v>
      </c>
    </row>
    <row r="3" spans="1:45">
      <c r="A3" s="240"/>
      <c r="B3" s="242" t="str">
        <f>data!A3</f>
        <v>MUZ-FH06NA</v>
      </c>
      <c r="C3" s="203">
        <f>data!B3</f>
        <v>6000</v>
      </c>
      <c r="D3" s="203">
        <f>data!C3</f>
        <v>8700</v>
      </c>
      <c r="E3" s="204">
        <f>data!D3</f>
        <v>4.68</v>
      </c>
      <c r="F3" s="204">
        <f>data!E3</f>
        <v>3.46</v>
      </c>
      <c r="G3" s="204">
        <f>data!F3</f>
        <v>2.81</v>
      </c>
      <c r="H3" s="204">
        <f>data!G3</f>
        <v>5.5685814771395075</v>
      </c>
      <c r="I3" s="204">
        <f>data!H3</f>
        <v>9.7010550996483005</v>
      </c>
      <c r="J3" s="204">
        <f>data!I3</f>
        <v>33.1</v>
      </c>
      <c r="K3" s="204">
        <f>data!J3</f>
        <v>19</v>
      </c>
      <c r="L3" s="197">
        <f>data!K3</f>
        <v>0.03</v>
      </c>
      <c r="M3" s="203">
        <f>data!L3</f>
        <v>8700</v>
      </c>
      <c r="N3" s="203">
        <f>data!M3</f>
        <v>8700</v>
      </c>
      <c r="O3" s="205">
        <f>data!P3</f>
        <v>-18</v>
      </c>
      <c r="P3" s="205">
        <f>data!Q3</f>
        <v>0.12</v>
      </c>
      <c r="Q3" s="206">
        <f t="shared" ref="Q3:Q4" si="0">A3*C3</f>
        <v>0</v>
      </c>
      <c r="R3" s="207">
        <f t="shared" ref="R3:R4" si="1">A3*D3</f>
        <v>0</v>
      </c>
      <c r="S3" s="198">
        <f>IF($A3=0,0,$A3*E3/$A3)</f>
        <v>0</v>
      </c>
      <c r="T3" s="198">
        <f t="shared" ref="T3:Z22" si="2">IF($A3=0,0,$A3*F3/$A3)</f>
        <v>0</v>
      </c>
      <c r="U3" s="198">
        <f t="shared" si="2"/>
        <v>0</v>
      </c>
      <c r="V3" s="198">
        <f t="shared" si="2"/>
        <v>0</v>
      </c>
      <c r="W3" s="198">
        <f t="shared" si="2"/>
        <v>0</v>
      </c>
      <c r="X3" s="198">
        <f t="shared" si="2"/>
        <v>0</v>
      </c>
      <c r="Y3" s="198">
        <f t="shared" si="2"/>
        <v>0</v>
      </c>
      <c r="Z3" s="198">
        <f t="shared" si="2"/>
        <v>0</v>
      </c>
      <c r="AA3" s="198">
        <f>IF($A3=0,0,$A3*M3)</f>
        <v>0</v>
      </c>
      <c r="AB3" s="198">
        <f>IF($A3=0,0,$A3*N3)</f>
        <v>0</v>
      </c>
      <c r="AC3" s="198">
        <f>IF($A3=0,0,O3)</f>
        <v>0</v>
      </c>
      <c r="AD3" s="198">
        <f>IF($A3=0,0,$A3*P3)</f>
        <v>0</v>
      </c>
      <c r="AE3" s="216">
        <f>IF(Q3=0,0,Q3/$Q$34)</f>
        <v>0</v>
      </c>
      <c r="AF3" s="218">
        <f t="shared" ref="AF3:AF4" si="3">Q3</f>
        <v>0</v>
      </c>
      <c r="AG3" s="219">
        <f t="shared" ref="AG3:AG4" si="4">R3</f>
        <v>0</v>
      </c>
      <c r="AH3" s="221">
        <f t="shared" ref="AH3:AH4" si="5">S3*$AE3</f>
        <v>0</v>
      </c>
      <c r="AI3" s="221">
        <f t="shared" ref="AI3:AI4" si="6">T3*$AE3</f>
        <v>0</v>
      </c>
      <c r="AJ3" s="221">
        <f t="shared" ref="AJ3:AJ4" si="7">U3*$AE3</f>
        <v>0</v>
      </c>
      <c r="AK3" s="221">
        <f t="shared" ref="AK3:AK4" si="8">V3*$AE3</f>
        <v>0</v>
      </c>
      <c r="AL3" s="221">
        <f t="shared" ref="AL3:AL4" si="9">W3*$AE3</f>
        <v>0</v>
      </c>
      <c r="AM3" s="221">
        <f t="shared" ref="AM3:AM4" si="10">X3*$AE3</f>
        <v>0</v>
      </c>
      <c r="AN3" s="221">
        <f t="shared" ref="AN3:AN4" si="11">Y3*$AE3</f>
        <v>0</v>
      </c>
      <c r="AO3" s="221">
        <f t="shared" ref="AO3:AO4" si="12">Z3*$AE3</f>
        <v>0</v>
      </c>
      <c r="AP3" s="220">
        <f t="shared" ref="AP3:AP4" si="13">AA3</f>
        <v>0</v>
      </c>
      <c r="AQ3" s="220">
        <f t="shared" ref="AQ3:AQ4" si="14">AB3</f>
        <v>0</v>
      </c>
      <c r="AR3" s="198">
        <f t="shared" ref="AR3:AR4" si="15">AC3*$AE3</f>
        <v>0</v>
      </c>
      <c r="AS3" s="198">
        <f t="shared" ref="AS3:AS4" si="16">AD3*$AE3</f>
        <v>0</v>
      </c>
    </row>
    <row r="4" spans="1:45">
      <c r="A4" s="240"/>
      <c r="B4" s="242" t="str">
        <f>data!A4</f>
        <v>MUZ-FH09NA</v>
      </c>
      <c r="C4" s="203">
        <f>data!B4</f>
        <v>9000</v>
      </c>
      <c r="D4" s="203">
        <f>data!C4</f>
        <v>10900</v>
      </c>
      <c r="E4" s="204">
        <f>data!D4</f>
        <v>4.5</v>
      </c>
      <c r="F4" s="204">
        <f>data!E4</f>
        <v>3.2727627979679599</v>
      </c>
      <c r="G4" s="204">
        <f>data!F4</f>
        <v>2.37</v>
      </c>
      <c r="H4" s="204">
        <f>data!G4</f>
        <v>4.718640093786636</v>
      </c>
      <c r="I4" s="204">
        <f>data!H4</f>
        <v>8.9390386869871037</v>
      </c>
      <c r="J4" s="204">
        <f>data!I4</f>
        <v>30.5</v>
      </c>
      <c r="K4" s="204">
        <f>data!J4</f>
        <v>16.100000000000001</v>
      </c>
      <c r="L4" s="197">
        <f>data!K4</f>
        <v>0.03</v>
      </c>
      <c r="M4" s="203">
        <f>data!L4</f>
        <v>10900</v>
      </c>
      <c r="N4" s="203">
        <f>data!M4</f>
        <v>10900</v>
      </c>
      <c r="O4" s="205">
        <f>data!P4</f>
        <v>-18</v>
      </c>
      <c r="P4" s="205">
        <f>data!Q4</f>
        <v>0.12</v>
      </c>
      <c r="Q4" s="206">
        <f t="shared" si="0"/>
        <v>0</v>
      </c>
      <c r="R4" s="207">
        <f t="shared" si="1"/>
        <v>0</v>
      </c>
      <c r="S4" s="198">
        <f t="shared" ref="S4:S32" si="17">IF($A4=0,0,$A4*E4/$A4)</f>
        <v>0</v>
      </c>
      <c r="T4" s="198">
        <f t="shared" si="2"/>
        <v>0</v>
      </c>
      <c r="U4" s="198">
        <f t="shared" si="2"/>
        <v>0</v>
      </c>
      <c r="V4" s="198">
        <f t="shared" si="2"/>
        <v>0</v>
      </c>
      <c r="W4" s="198">
        <f t="shared" si="2"/>
        <v>0</v>
      </c>
      <c r="X4" s="198">
        <f t="shared" si="2"/>
        <v>0</v>
      </c>
      <c r="Y4" s="198">
        <f t="shared" si="2"/>
        <v>0</v>
      </c>
      <c r="Z4" s="198">
        <f t="shared" si="2"/>
        <v>0</v>
      </c>
      <c r="AA4" s="198">
        <f t="shared" ref="AA4:AB32" si="18">IF($A4=0,0,$A4*M4)</f>
        <v>0</v>
      </c>
      <c r="AB4" s="198">
        <f t="shared" si="18"/>
        <v>0</v>
      </c>
      <c r="AC4" s="198">
        <f t="shared" ref="AC4:AC32" si="19">IF($A4=0,0,O4)</f>
        <v>0</v>
      </c>
      <c r="AD4" s="198">
        <f t="shared" ref="AD4:AD32" si="20">IF($A4=0,0,$A4*P4)</f>
        <v>0</v>
      </c>
      <c r="AE4" s="216">
        <f>IF(Q4=0,0,Q4/$Q$34)</f>
        <v>0</v>
      </c>
      <c r="AF4" s="218">
        <f t="shared" si="3"/>
        <v>0</v>
      </c>
      <c r="AG4" s="219">
        <f t="shared" si="4"/>
        <v>0</v>
      </c>
      <c r="AH4" s="221">
        <f t="shared" si="5"/>
        <v>0</v>
      </c>
      <c r="AI4" s="221">
        <f t="shared" si="6"/>
        <v>0</v>
      </c>
      <c r="AJ4" s="221">
        <f t="shared" si="7"/>
        <v>0</v>
      </c>
      <c r="AK4" s="221">
        <f t="shared" si="8"/>
        <v>0</v>
      </c>
      <c r="AL4" s="221">
        <f t="shared" si="9"/>
        <v>0</v>
      </c>
      <c r="AM4" s="221">
        <f t="shared" si="10"/>
        <v>0</v>
      </c>
      <c r="AN4" s="221">
        <f t="shared" si="11"/>
        <v>0</v>
      </c>
      <c r="AO4" s="221">
        <f t="shared" si="12"/>
        <v>0</v>
      </c>
      <c r="AP4" s="220">
        <f t="shared" si="13"/>
        <v>0</v>
      </c>
      <c r="AQ4" s="220">
        <f t="shared" si="14"/>
        <v>0</v>
      </c>
      <c r="AR4" s="198">
        <f t="shared" si="15"/>
        <v>0</v>
      </c>
      <c r="AS4" s="198">
        <f t="shared" si="16"/>
        <v>0</v>
      </c>
    </row>
    <row r="5" spans="1:45">
      <c r="A5" s="240"/>
      <c r="B5" s="242" t="str">
        <f>data!A5</f>
        <v>MUZ-FH12NA</v>
      </c>
      <c r="C5" s="203">
        <f>data!B5</f>
        <v>12000</v>
      </c>
      <c r="D5" s="203">
        <f>data!C5</f>
        <v>13600</v>
      </c>
      <c r="E5" s="204">
        <f>data!D5</f>
        <v>4.2</v>
      </c>
      <c r="F5" s="204">
        <f>data!E5</f>
        <v>3.2564803959880164</v>
      </c>
      <c r="G5" s="204">
        <f>data!F5</f>
        <v>2.2144066692718511</v>
      </c>
      <c r="H5" s="204">
        <f>data!G5</f>
        <v>4.0445486518171165</v>
      </c>
      <c r="I5" s="204">
        <f>data!H5</f>
        <v>7.6494724501758506</v>
      </c>
      <c r="J5" s="204">
        <f>data!I5</f>
        <v>26.1</v>
      </c>
      <c r="K5" s="204">
        <f>data!J5</f>
        <v>13.8</v>
      </c>
      <c r="L5" s="197">
        <f>data!K5</f>
        <v>0.03</v>
      </c>
      <c r="M5" s="203">
        <f>data!L5</f>
        <v>13600</v>
      </c>
      <c r="N5" s="203">
        <f>data!M5</f>
        <v>13600</v>
      </c>
      <c r="O5" s="205">
        <f>data!P5</f>
        <v>-18</v>
      </c>
      <c r="P5" s="205">
        <f>data!Q5</f>
        <v>0.12</v>
      </c>
      <c r="Q5" s="206">
        <f t="shared" ref="Q5:Q32" si="21">A5*C5</f>
        <v>0</v>
      </c>
      <c r="R5" s="207">
        <f t="shared" ref="R5:R32" si="22">A5*D5</f>
        <v>0</v>
      </c>
      <c r="S5" s="198">
        <f t="shared" si="17"/>
        <v>0</v>
      </c>
      <c r="T5" s="198">
        <f t="shared" si="2"/>
        <v>0</v>
      </c>
      <c r="U5" s="198">
        <f t="shared" si="2"/>
        <v>0</v>
      </c>
      <c r="V5" s="198">
        <f t="shared" si="2"/>
        <v>0</v>
      </c>
      <c r="W5" s="198">
        <f t="shared" si="2"/>
        <v>0</v>
      </c>
      <c r="X5" s="198">
        <f t="shared" si="2"/>
        <v>0</v>
      </c>
      <c r="Y5" s="198">
        <f t="shared" si="2"/>
        <v>0</v>
      </c>
      <c r="Z5" s="198">
        <f t="shared" si="2"/>
        <v>0</v>
      </c>
      <c r="AA5" s="198">
        <f t="shared" si="18"/>
        <v>0</v>
      </c>
      <c r="AB5" s="198">
        <f t="shared" si="18"/>
        <v>0</v>
      </c>
      <c r="AC5" s="198">
        <f t="shared" si="19"/>
        <v>0</v>
      </c>
      <c r="AD5" s="198">
        <f t="shared" si="20"/>
        <v>0</v>
      </c>
      <c r="AE5" s="216">
        <f>IF(Q5=0,0,Q5/$Q$34)</f>
        <v>0</v>
      </c>
      <c r="AF5" s="218">
        <f t="shared" ref="AF5:AG32" si="23">Q5</f>
        <v>0</v>
      </c>
      <c r="AG5" s="219">
        <f t="shared" si="23"/>
        <v>0</v>
      </c>
      <c r="AH5" s="221">
        <f t="shared" ref="AH5:AS32" si="24">S5*$AE5</f>
        <v>0</v>
      </c>
      <c r="AI5" s="221">
        <f t="shared" si="24"/>
        <v>0</v>
      </c>
      <c r="AJ5" s="221">
        <f t="shared" si="24"/>
        <v>0</v>
      </c>
      <c r="AK5" s="221">
        <f t="shared" si="24"/>
        <v>0</v>
      </c>
      <c r="AL5" s="221">
        <f t="shared" si="24"/>
        <v>0</v>
      </c>
      <c r="AM5" s="221">
        <f t="shared" si="24"/>
        <v>0</v>
      </c>
      <c r="AN5" s="221">
        <f t="shared" si="24"/>
        <v>0</v>
      </c>
      <c r="AO5" s="221">
        <f t="shared" si="24"/>
        <v>0</v>
      </c>
      <c r="AP5" s="220">
        <f t="shared" ref="AP5:AQ32" si="25">AA5</f>
        <v>0</v>
      </c>
      <c r="AQ5" s="220">
        <f t="shared" si="25"/>
        <v>0</v>
      </c>
      <c r="AR5" s="198">
        <f t="shared" si="24"/>
        <v>0</v>
      </c>
      <c r="AS5" s="198">
        <f t="shared" si="24"/>
        <v>0</v>
      </c>
    </row>
    <row r="6" spans="1:45">
      <c r="A6" s="240"/>
      <c r="B6" s="242" t="str">
        <f>data!A6</f>
        <v>MUZ-FH15NA</v>
      </c>
      <c r="C6" s="203">
        <f>data!B6</f>
        <v>15000</v>
      </c>
      <c r="D6" s="203">
        <f>data!C6</f>
        <v>18000</v>
      </c>
      <c r="E6" s="204">
        <f>data!D6</f>
        <v>4.0599999999999996</v>
      </c>
      <c r="F6" s="204">
        <f>data!E6</f>
        <v>3.1607015608118982</v>
      </c>
      <c r="G6" s="204">
        <f>data!F6</f>
        <v>1.78</v>
      </c>
      <c r="H6" s="204">
        <f>data!G6</f>
        <v>3.6635404454865181</v>
      </c>
      <c r="I6" s="204">
        <f>data!H6</f>
        <v>6.4478311840562723</v>
      </c>
      <c r="J6" s="204">
        <f>data!I6</f>
        <v>22</v>
      </c>
      <c r="K6" s="204">
        <f>data!J6</f>
        <v>12.5</v>
      </c>
      <c r="L6" s="197">
        <f>data!K6</f>
        <v>0.03</v>
      </c>
      <c r="M6" s="203">
        <f>data!L6</f>
        <v>18000</v>
      </c>
      <c r="N6" s="203">
        <f>data!M6</f>
        <v>18000</v>
      </c>
      <c r="O6" s="205">
        <f>data!P6</f>
        <v>-18</v>
      </c>
      <c r="P6" s="205">
        <f>data!Q6</f>
        <v>0.12</v>
      </c>
      <c r="Q6" s="206">
        <f t="shared" si="21"/>
        <v>0</v>
      </c>
      <c r="R6" s="207">
        <f t="shared" si="22"/>
        <v>0</v>
      </c>
      <c r="S6" s="198">
        <f t="shared" si="17"/>
        <v>0</v>
      </c>
      <c r="T6" s="198">
        <f t="shared" si="2"/>
        <v>0</v>
      </c>
      <c r="U6" s="198">
        <f t="shared" si="2"/>
        <v>0</v>
      </c>
      <c r="V6" s="198">
        <f t="shared" si="2"/>
        <v>0</v>
      </c>
      <c r="W6" s="198">
        <f t="shared" si="2"/>
        <v>0</v>
      </c>
      <c r="X6" s="198">
        <f t="shared" si="2"/>
        <v>0</v>
      </c>
      <c r="Y6" s="198">
        <f t="shared" si="2"/>
        <v>0</v>
      </c>
      <c r="Z6" s="198">
        <f t="shared" si="2"/>
        <v>0</v>
      </c>
      <c r="AA6" s="198">
        <f t="shared" si="18"/>
        <v>0</v>
      </c>
      <c r="AB6" s="198">
        <f t="shared" si="18"/>
        <v>0</v>
      </c>
      <c r="AC6" s="198">
        <f t="shared" si="19"/>
        <v>0</v>
      </c>
      <c r="AD6" s="198">
        <f t="shared" si="20"/>
        <v>0</v>
      </c>
      <c r="AE6" s="216">
        <f>IF(Q6=0,0,Q6/$Q$34)</f>
        <v>0</v>
      </c>
      <c r="AF6" s="218">
        <f t="shared" si="23"/>
        <v>0</v>
      </c>
      <c r="AG6" s="219">
        <f t="shared" si="23"/>
        <v>0</v>
      </c>
      <c r="AH6" s="221">
        <f t="shared" si="24"/>
        <v>0</v>
      </c>
      <c r="AI6" s="221">
        <f t="shared" si="24"/>
        <v>0</v>
      </c>
      <c r="AJ6" s="221">
        <f t="shared" si="24"/>
        <v>0</v>
      </c>
      <c r="AK6" s="221">
        <f t="shared" si="24"/>
        <v>0</v>
      </c>
      <c r="AL6" s="221">
        <f t="shared" si="24"/>
        <v>0</v>
      </c>
      <c r="AM6" s="221">
        <f t="shared" si="24"/>
        <v>0</v>
      </c>
      <c r="AN6" s="221">
        <f t="shared" si="24"/>
        <v>0</v>
      </c>
      <c r="AO6" s="221">
        <f t="shared" si="24"/>
        <v>0</v>
      </c>
      <c r="AP6" s="220">
        <f t="shared" si="25"/>
        <v>0</v>
      </c>
      <c r="AQ6" s="220">
        <f t="shared" si="25"/>
        <v>0</v>
      </c>
      <c r="AR6" s="198">
        <f t="shared" si="24"/>
        <v>0</v>
      </c>
      <c r="AS6" s="198">
        <f t="shared" si="24"/>
        <v>0</v>
      </c>
    </row>
    <row r="7" spans="1:45">
      <c r="A7" s="240"/>
      <c r="B7" s="242" t="str">
        <f>data!A7</f>
        <v>MUZ-FH18NA2</v>
      </c>
      <c r="C7" s="203">
        <f>data!B7</f>
        <v>17200</v>
      </c>
      <c r="D7" s="203">
        <f>data!C7</f>
        <v>20300</v>
      </c>
      <c r="E7" s="204">
        <f>data!D7</f>
        <v>3.46</v>
      </c>
      <c r="F7" s="204">
        <f>data!E7</f>
        <v>3.04</v>
      </c>
      <c r="G7" s="204">
        <f>data!F7</f>
        <v>2.06</v>
      </c>
      <c r="H7" s="204">
        <f>data!G7</f>
        <v>3.5169988276670576</v>
      </c>
      <c r="I7" s="204">
        <f>data!H7</f>
        <v>6.1547479484173504</v>
      </c>
      <c r="J7" s="204">
        <f>data!I7</f>
        <v>21</v>
      </c>
      <c r="K7" s="204">
        <f>data!J7</f>
        <v>12</v>
      </c>
      <c r="L7" s="197">
        <f>data!K7</f>
        <v>0.03</v>
      </c>
      <c r="M7" s="203">
        <f>data!L7</f>
        <v>20300</v>
      </c>
      <c r="N7" s="203">
        <f>data!M7</f>
        <v>20300</v>
      </c>
      <c r="O7" s="205">
        <f>data!P7</f>
        <v>-18</v>
      </c>
      <c r="P7" s="205">
        <f>data!Q7</f>
        <v>0.12</v>
      </c>
      <c r="Q7" s="206">
        <f t="shared" ref="Q7" si="26">A7*C7</f>
        <v>0</v>
      </c>
      <c r="R7" s="207">
        <f t="shared" ref="R7" si="27">A7*D7</f>
        <v>0</v>
      </c>
      <c r="S7" s="198">
        <f t="shared" si="17"/>
        <v>0</v>
      </c>
      <c r="T7" s="198">
        <f t="shared" si="2"/>
        <v>0</v>
      </c>
      <c r="U7" s="198">
        <f t="shared" si="2"/>
        <v>0</v>
      </c>
      <c r="V7" s="198">
        <f t="shared" si="2"/>
        <v>0</v>
      </c>
      <c r="W7" s="198">
        <f t="shared" si="2"/>
        <v>0</v>
      </c>
      <c r="X7" s="198">
        <f t="shared" si="2"/>
        <v>0</v>
      </c>
      <c r="Y7" s="198">
        <f t="shared" si="2"/>
        <v>0</v>
      </c>
      <c r="Z7" s="198">
        <f t="shared" si="2"/>
        <v>0</v>
      </c>
      <c r="AA7" s="198">
        <f t="shared" si="18"/>
        <v>0</v>
      </c>
      <c r="AB7" s="198">
        <f t="shared" si="18"/>
        <v>0</v>
      </c>
      <c r="AC7" s="198">
        <f t="shared" si="19"/>
        <v>0</v>
      </c>
      <c r="AD7" s="198">
        <f t="shared" si="20"/>
        <v>0</v>
      </c>
      <c r="AE7" s="216">
        <f>IF(Q7=0,0,Q7/$Q$34)</f>
        <v>0</v>
      </c>
      <c r="AF7" s="218">
        <f t="shared" ref="AF7" si="28">Q7</f>
        <v>0</v>
      </c>
      <c r="AG7" s="219">
        <f t="shared" ref="AG7" si="29">R7</f>
        <v>0</v>
      </c>
      <c r="AH7" s="221">
        <f t="shared" ref="AH7" si="30">S7*$AE7</f>
        <v>0</v>
      </c>
      <c r="AI7" s="221">
        <f t="shared" ref="AI7" si="31">T7*$AE7</f>
        <v>0</v>
      </c>
      <c r="AJ7" s="221">
        <f t="shared" ref="AJ7" si="32">U7*$AE7</f>
        <v>0</v>
      </c>
      <c r="AK7" s="221">
        <f t="shared" ref="AK7" si="33">V7*$AE7</f>
        <v>0</v>
      </c>
      <c r="AL7" s="221">
        <f t="shared" ref="AL7" si="34">W7*$AE7</f>
        <v>0</v>
      </c>
      <c r="AM7" s="221">
        <f t="shared" ref="AM7" si="35">X7*$AE7</f>
        <v>0</v>
      </c>
      <c r="AN7" s="221">
        <f t="shared" ref="AN7" si="36">Y7*$AE7</f>
        <v>0</v>
      </c>
      <c r="AO7" s="221">
        <f t="shared" ref="AO7" si="37">Z7*$AE7</f>
        <v>0</v>
      </c>
      <c r="AP7" s="220">
        <f t="shared" ref="AP7" si="38">AA7</f>
        <v>0</v>
      </c>
      <c r="AQ7" s="220">
        <f t="shared" ref="AQ7" si="39">AB7</f>
        <v>0</v>
      </c>
      <c r="AR7" s="198">
        <f t="shared" ref="AR7" si="40">AC7*$AE7</f>
        <v>0</v>
      </c>
      <c r="AS7" s="198">
        <f t="shared" ref="AS7" si="41">AD7*$AE7</f>
        <v>0</v>
      </c>
    </row>
    <row r="8" spans="1:45">
      <c r="A8" s="240"/>
      <c r="B8" s="242" t="str">
        <f>data!A8</f>
        <v>MUFZ-KJ09NA-U1</v>
      </c>
      <c r="C8" s="203">
        <f>data!B8</f>
        <v>9000</v>
      </c>
      <c r="D8" s="203">
        <f>data!C8</f>
        <v>11000</v>
      </c>
      <c r="E8" s="204">
        <f>data!D8</f>
        <v>4.3</v>
      </c>
      <c r="F8" s="204">
        <f>data!E8</f>
        <v>2.71</v>
      </c>
      <c r="G8" s="204">
        <f>data!F8</f>
        <v>2.0099999999999998</v>
      </c>
      <c r="H8" s="204">
        <f>data!G8</f>
        <v>4.6307151230949595</v>
      </c>
      <c r="I8" s="204">
        <f>data!H8</f>
        <v>8.2649472450175843</v>
      </c>
      <c r="J8" s="204">
        <f>data!I8</f>
        <v>28.2</v>
      </c>
      <c r="K8" s="204">
        <f>data!J8</f>
        <v>15.8</v>
      </c>
      <c r="L8" s="197">
        <f>data!K8</f>
        <v>0.03</v>
      </c>
      <c r="M8" s="203">
        <f>data!L8</f>
        <v>11000</v>
      </c>
      <c r="N8" s="203">
        <f>data!M8</f>
        <v>11000</v>
      </c>
      <c r="O8" s="205">
        <f>data!P8</f>
        <v>-18</v>
      </c>
      <c r="P8" s="205">
        <f>data!Q8</f>
        <v>0.12</v>
      </c>
      <c r="Q8" s="206">
        <f t="shared" ref="Q8:Q11" si="42">A8*C8</f>
        <v>0</v>
      </c>
      <c r="R8" s="207">
        <f t="shared" ref="R8:R11" si="43">A8*D8</f>
        <v>0</v>
      </c>
      <c r="S8" s="198">
        <f t="shared" ref="S8:S11" si="44">IF($A8=0,0,$A8*E8/$A8)</f>
        <v>0</v>
      </c>
      <c r="T8" s="198">
        <f t="shared" ref="T8:T11" si="45">IF($A8=0,0,$A8*F8/$A8)</f>
        <v>0</v>
      </c>
      <c r="U8" s="198">
        <f t="shared" ref="U8:U11" si="46">IF($A8=0,0,$A8*G8/$A8)</f>
        <v>0</v>
      </c>
      <c r="V8" s="198">
        <f t="shared" ref="V8:V11" si="47">IF($A8=0,0,$A8*H8/$A8)</f>
        <v>0</v>
      </c>
      <c r="W8" s="198">
        <f t="shared" ref="W8:W11" si="48">IF($A8=0,0,$A8*I8/$A8)</f>
        <v>0</v>
      </c>
      <c r="X8" s="198">
        <f t="shared" ref="X8:X11" si="49">IF($A8=0,0,$A8*J8/$A8)</f>
        <v>0</v>
      </c>
      <c r="Y8" s="198">
        <f t="shared" ref="Y8:Y11" si="50">IF($A8=0,0,$A8*K8/$A8)</f>
        <v>0</v>
      </c>
      <c r="Z8" s="198">
        <f t="shared" ref="Z8:Z11" si="51">IF($A8=0,0,$A8*L8/$A8)</f>
        <v>0</v>
      </c>
      <c r="AA8" s="198">
        <f t="shared" ref="AA8:AA11" si="52">IF($A8=0,0,$A8*M8)</f>
        <v>0</v>
      </c>
      <c r="AB8" s="198">
        <f t="shared" ref="AB8:AB11" si="53">IF($A8=0,0,$A8*N8)</f>
        <v>0</v>
      </c>
      <c r="AC8" s="198">
        <f t="shared" ref="AC8:AC11" si="54">IF($A8=0,0,O8)</f>
        <v>0</v>
      </c>
      <c r="AD8" s="198">
        <f t="shared" ref="AD8:AD11" si="55">IF($A8=0,0,$A8*P8)</f>
        <v>0</v>
      </c>
      <c r="AE8" s="216">
        <f t="shared" ref="AE8:AE11" si="56">IF(Q8=0,0,Q8/$Q$34)</f>
        <v>0</v>
      </c>
      <c r="AF8" s="218">
        <f t="shared" ref="AF8:AF11" si="57">Q8</f>
        <v>0</v>
      </c>
      <c r="AG8" s="219">
        <f t="shared" ref="AG8:AG11" si="58">R8</f>
        <v>0</v>
      </c>
      <c r="AH8" s="221">
        <f t="shared" ref="AH8:AH11" si="59">S8*$AE8</f>
        <v>0</v>
      </c>
      <c r="AI8" s="221">
        <f t="shared" ref="AI8:AI11" si="60">T8*$AE8</f>
        <v>0</v>
      </c>
      <c r="AJ8" s="221">
        <f t="shared" ref="AJ8:AJ11" si="61">U8*$AE8</f>
        <v>0</v>
      </c>
      <c r="AK8" s="221">
        <f t="shared" ref="AK8:AK11" si="62">V8*$AE8</f>
        <v>0</v>
      </c>
      <c r="AL8" s="221">
        <f t="shared" ref="AL8:AL11" si="63">W8*$AE8</f>
        <v>0</v>
      </c>
      <c r="AM8" s="221">
        <f t="shared" ref="AM8:AM11" si="64">X8*$AE8</f>
        <v>0</v>
      </c>
      <c r="AN8" s="221">
        <f t="shared" ref="AN8:AN11" si="65">Y8*$AE8</f>
        <v>0</v>
      </c>
      <c r="AO8" s="221">
        <f t="shared" ref="AO8:AO11" si="66">Z8*$AE8</f>
        <v>0</v>
      </c>
      <c r="AP8" s="220">
        <f t="shared" ref="AP8:AP11" si="67">AA8</f>
        <v>0</v>
      </c>
      <c r="AQ8" s="220">
        <f t="shared" ref="AQ8:AQ11" si="68">AB8</f>
        <v>0</v>
      </c>
      <c r="AR8" s="198">
        <f t="shared" ref="AR8:AR11" si="69">AC8*$AE8</f>
        <v>0</v>
      </c>
      <c r="AS8" s="198">
        <f t="shared" ref="AS8:AS11" si="70">AD8*$AE8</f>
        <v>0</v>
      </c>
    </row>
    <row r="9" spans="1:45">
      <c r="A9" s="240"/>
      <c r="B9" s="242" t="str">
        <f>data!A9</f>
        <v>MUFZ-KJ12NA-U1</v>
      </c>
      <c r="C9" s="203">
        <f>data!B9</f>
        <v>12000</v>
      </c>
      <c r="D9" s="203">
        <f>data!C9</f>
        <v>13000</v>
      </c>
      <c r="E9" s="204">
        <f>data!D9</f>
        <v>4.2</v>
      </c>
      <c r="F9" s="204">
        <f>data!E9</f>
        <v>2.77</v>
      </c>
      <c r="G9" s="204">
        <f>data!F9</f>
        <v>2.1</v>
      </c>
      <c r="H9" s="204">
        <f>data!G9</f>
        <v>3.9859320046893316</v>
      </c>
      <c r="I9" s="204">
        <f>data!H9</f>
        <v>7.4736225087924977</v>
      </c>
      <c r="J9" s="204">
        <f>data!I9</f>
        <v>25.5</v>
      </c>
      <c r="K9" s="204">
        <f>data!J9</f>
        <v>13.6</v>
      </c>
      <c r="L9" s="197">
        <f>data!K9</f>
        <v>0.03</v>
      </c>
      <c r="M9" s="203">
        <f>data!L9</f>
        <v>13000</v>
      </c>
      <c r="N9" s="203">
        <f>data!M9</f>
        <v>13000</v>
      </c>
      <c r="O9" s="205">
        <f>data!P9</f>
        <v>-18</v>
      </c>
      <c r="P9" s="205">
        <f>data!Q9</f>
        <v>0.12</v>
      </c>
      <c r="Q9" s="206">
        <f t="shared" si="42"/>
        <v>0</v>
      </c>
      <c r="R9" s="207">
        <f t="shared" si="43"/>
        <v>0</v>
      </c>
      <c r="S9" s="198">
        <f t="shared" si="44"/>
        <v>0</v>
      </c>
      <c r="T9" s="198">
        <f t="shared" si="45"/>
        <v>0</v>
      </c>
      <c r="U9" s="198">
        <f t="shared" si="46"/>
        <v>0</v>
      </c>
      <c r="V9" s="198">
        <f t="shared" si="47"/>
        <v>0</v>
      </c>
      <c r="W9" s="198">
        <f t="shared" si="48"/>
        <v>0</v>
      </c>
      <c r="X9" s="198">
        <f t="shared" si="49"/>
        <v>0</v>
      </c>
      <c r="Y9" s="198">
        <f t="shared" si="50"/>
        <v>0</v>
      </c>
      <c r="Z9" s="198">
        <f t="shared" si="51"/>
        <v>0</v>
      </c>
      <c r="AA9" s="198">
        <f t="shared" si="52"/>
        <v>0</v>
      </c>
      <c r="AB9" s="198">
        <f t="shared" si="53"/>
        <v>0</v>
      </c>
      <c r="AC9" s="198">
        <f t="shared" si="54"/>
        <v>0</v>
      </c>
      <c r="AD9" s="198">
        <f t="shared" si="55"/>
        <v>0</v>
      </c>
      <c r="AE9" s="216">
        <f t="shared" si="56"/>
        <v>0</v>
      </c>
      <c r="AF9" s="218">
        <f t="shared" si="57"/>
        <v>0</v>
      </c>
      <c r="AG9" s="219">
        <f t="shared" si="58"/>
        <v>0</v>
      </c>
      <c r="AH9" s="221">
        <f t="shared" si="59"/>
        <v>0</v>
      </c>
      <c r="AI9" s="221">
        <f t="shared" si="60"/>
        <v>0</v>
      </c>
      <c r="AJ9" s="221">
        <f t="shared" si="61"/>
        <v>0</v>
      </c>
      <c r="AK9" s="221">
        <f t="shared" si="62"/>
        <v>0</v>
      </c>
      <c r="AL9" s="221">
        <f t="shared" si="63"/>
        <v>0</v>
      </c>
      <c r="AM9" s="221">
        <f t="shared" si="64"/>
        <v>0</v>
      </c>
      <c r="AN9" s="221">
        <f t="shared" si="65"/>
        <v>0</v>
      </c>
      <c r="AO9" s="221">
        <f t="shared" si="66"/>
        <v>0</v>
      </c>
      <c r="AP9" s="220">
        <f t="shared" si="67"/>
        <v>0</v>
      </c>
      <c r="AQ9" s="220">
        <f t="shared" si="68"/>
        <v>0</v>
      </c>
      <c r="AR9" s="198">
        <f t="shared" si="69"/>
        <v>0</v>
      </c>
      <c r="AS9" s="198">
        <f t="shared" si="70"/>
        <v>0</v>
      </c>
    </row>
    <row r="10" spans="1:45">
      <c r="A10" s="240"/>
      <c r="B10" s="242" t="str">
        <f>data!A10</f>
        <v>MUFZ-KJ15NA-U1</v>
      </c>
      <c r="C10" s="203">
        <f>data!B10</f>
        <v>15000</v>
      </c>
      <c r="D10" s="203">
        <f>data!C10</f>
        <v>18000</v>
      </c>
      <c r="E10" s="204">
        <f>data!D10</f>
        <v>3.7</v>
      </c>
      <c r="F10" s="204">
        <f>data!E10</f>
        <v>2.71</v>
      </c>
      <c r="G10" s="204">
        <f>data!F10</f>
        <v>1.79</v>
      </c>
      <c r="H10" s="204">
        <f>data!G10</f>
        <v>3.9566236811254396</v>
      </c>
      <c r="I10" s="204">
        <f>data!H10</f>
        <v>6.3892145369284883</v>
      </c>
      <c r="J10" s="204">
        <f>data!I10</f>
        <v>21.8</v>
      </c>
      <c r="K10" s="204">
        <f>data!J10</f>
        <v>13.5</v>
      </c>
      <c r="L10" s="197">
        <f>data!K10</f>
        <v>0.03</v>
      </c>
      <c r="M10" s="203">
        <f>data!L10</f>
        <v>18000</v>
      </c>
      <c r="N10" s="203">
        <f>data!M10</f>
        <v>18000</v>
      </c>
      <c r="O10" s="205">
        <f>data!P10</f>
        <v>-18</v>
      </c>
      <c r="P10" s="205">
        <f>data!Q10</f>
        <v>0.12</v>
      </c>
      <c r="Q10" s="206">
        <f t="shared" si="42"/>
        <v>0</v>
      </c>
      <c r="R10" s="207">
        <f t="shared" si="43"/>
        <v>0</v>
      </c>
      <c r="S10" s="198">
        <f t="shared" si="44"/>
        <v>0</v>
      </c>
      <c r="T10" s="198">
        <f t="shared" si="45"/>
        <v>0</v>
      </c>
      <c r="U10" s="198">
        <f t="shared" si="46"/>
        <v>0</v>
      </c>
      <c r="V10" s="198">
        <f t="shared" si="47"/>
        <v>0</v>
      </c>
      <c r="W10" s="198">
        <f t="shared" si="48"/>
        <v>0</v>
      </c>
      <c r="X10" s="198">
        <f t="shared" si="49"/>
        <v>0</v>
      </c>
      <c r="Y10" s="198">
        <f t="shared" si="50"/>
        <v>0</v>
      </c>
      <c r="Z10" s="198">
        <f t="shared" si="51"/>
        <v>0</v>
      </c>
      <c r="AA10" s="198">
        <f t="shared" si="52"/>
        <v>0</v>
      </c>
      <c r="AB10" s="198">
        <f t="shared" si="53"/>
        <v>0</v>
      </c>
      <c r="AC10" s="198">
        <f t="shared" si="54"/>
        <v>0</v>
      </c>
      <c r="AD10" s="198">
        <f t="shared" si="55"/>
        <v>0</v>
      </c>
      <c r="AE10" s="216">
        <f t="shared" si="56"/>
        <v>0</v>
      </c>
      <c r="AF10" s="218">
        <f t="shared" si="57"/>
        <v>0</v>
      </c>
      <c r="AG10" s="219">
        <f t="shared" si="58"/>
        <v>0</v>
      </c>
      <c r="AH10" s="221">
        <f t="shared" si="59"/>
        <v>0</v>
      </c>
      <c r="AI10" s="221">
        <f t="shared" si="60"/>
        <v>0</v>
      </c>
      <c r="AJ10" s="221">
        <f t="shared" si="61"/>
        <v>0</v>
      </c>
      <c r="AK10" s="221">
        <f t="shared" si="62"/>
        <v>0</v>
      </c>
      <c r="AL10" s="221">
        <f t="shared" si="63"/>
        <v>0</v>
      </c>
      <c r="AM10" s="221">
        <f t="shared" si="64"/>
        <v>0</v>
      </c>
      <c r="AN10" s="221">
        <f t="shared" si="65"/>
        <v>0</v>
      </c>
      <c r="AO10" s="221">
        <f t="shared" si="66"/>
        <v>0</v>
      </c>
      <c r="AP10" s="220">
        <f t="shared" si="67"/>
        <v>0</v>
      </c>
      <c r="AQ10" s="220">
        <f t="shared" si="68"/>
        <v>0</v>
      </c>
      <c r="AR10" s="198">
        <f t="shared" si="69"/>
        <v>0</v>
      </c>
      <c r="AS10" s="198">
        <f t="shared" si="70"/>
        <v>0</v>
      </c>
    </row>
    <row r="11" spans="1:45">
      <c r="A11" s="240"/>
      <c r="B11" s="242" t="str">
        <f>data!A11</f>
        <v>MUFZ-KJ18NA-U1</v>
      </c>
      <c r="C11" s="203">
        <f>data!B11</f>
        <v>17000</v>
      </c>
      <c r="D11" s="203">
        <f>data!C11</f>
        <v>21000</v>
      </c>
      <c r="E11" s="204">
        <f>data!D11</f>
        <v>3.5</v>
      </c>
      <c r="F11" s="204">
        <f>data!E11</f>
        <v>2.62</v>
      </c>
      <c r="G11" s="204">
        <f>data!F11</f>
        <v>2.0499999999999998</v>
      </c>
      <c r="H11" s="204">
        <f>data!G11</f>
        <v>3.6928487690504102</v>
      </c>
      <c r="I11" s="204">
        <f>data!H11</f>
        <v>6.1547479484173504</v>
      </c>
      <c r="J11" s="204">
        <f>data!I11</f>
        <v>21</v>
      </c>
      <c r="K11" s="204">
        <f>data!J11</f>
        <v>12.6</v>
      </c>
      <c r="L11" s="197">
        <f>data!K11</f>
        <v>0.03</v>
      </c>
      <c r="M11" s="203">
        <f>data!L11</f>
        <v>21000</v>
      </c>
      <c r="N11" s="203">
        <f>data!M11</f>
        <v>21000</v>
      </c>
      <c r="O11" s="205">
        <f>data!P11</f>
        <v>-18</v>
      </c>
      <c r="P11" s="205">
        <f>data!Q11</f>
        <v>0.12</v>
      </c>
      <c r="Q11" s="206">
        <f t="shared" si="42"/>
        <v>0</v>
      </c>
      <c r="R11" s="207">
        <f t="shared" si="43"/>
        <v>0</v>
      </c>
      <c r="S11" s="198">
        <f t="shared" si="44"/>
        <v>0</v>
      </c>
      <c r="T11" s="198">
        <f t="shared" si="45"/>
        <v>0</v>
      </c>
      <c r="U11" s="198">
        <f t="shared" si="46"/>
        <v>0</v>
      </c>
      <c r="V11" s="198">
        <f t="shared" si="47"/>
        <v>0</v>
      </c>
      <c r="W11" s="198">
        <f t="shared" si="48"/>
        <v>0</v>
      </c>
      <c r="X11" s="198">
        <f t="shared" si="49"/>
        <v>0</v>
      </c>
      <c r="Y11" s="198">
        <f t="shared" si="50"/>
        <v>0</v>
      </c>
      <c r="Z11" s="198">
        <f t="shared" si="51"/>
        <v>0</v>
      </c>
      <c r="AA11" s="198">
        <f t="shared" si="52"/>
        <v>0</v>
      </c>
      <c r="AB11" s="198">
        <f t="shared" si="53"/>
        <v>0</v>
      </c>
      <c r="AC11" s="198">
        <f t="shared" si="54"/>
        <v>0</v>
      </c>
      <c r="AD11" s="198">
        <f t="shared" si="55"/>
        <v>0</v>
      </c>
      <c r="AE11" s="216">
        <f t="shared" si="56"/>
        <v>0</v>
      </c>
      <c r="AF11" s="218">
        <f t="shared" si="57"/>
        <v>0</v>
      </c>
      <c r="AG11" s="219">
        <f t="shared" si="58"/>
        <v>0</v>
      </c>
      <c r="AH11" s="221">
        <f t="shared" si="59"/>
        <v>0</v>
      </c>
      <c r="AI11" s="221">
        <f t="shared" si="60"/>
        <v>0</v>
      </c>
      <c r="AJ11" s="221">
        <f t="shared" si="61"/>
        <v>0</v>
      </c>
      <c r="AK11" s="221">
        <f t="shared" si="62"/>
        <v>0</v>
      </c>
      <c r="AL11" s="221">
        <f t="shared" si="63"/>
        <v>0</v>
      </c>
      <c r="AM11" s="221">
        <f t="shared" si="64"/>
        <v>0</v>
      </c>
      <c r="AN11" s="221">
        <f t="shared" si="65"/>
        <v>0</v>
      </c>
      <c r="AO11" s="221">
        <f t="shared" si="66"/>
        <v>0</v>
      </c>
      <c r="AP11" s="220">
        <f t="shared" si="67"/>
        <v>0</v>
      </c>
      <c r="AQ11" s="220">
        <f t="shared" si="68"/>
        <v>0</v>
      </c>
      <c r="AR11" s="198">
        <f t="shared" si="69"/>
        <v>0</v>
      </c>
      <c r="AS11" s="198">
        <f t="shared" si="70"/>
        <v>0</v>
      </c>
    </row>
    <row r="12" spans="1:45">
      <c r="A12" s="240"/>
      <c r="B12" s="242" t="str">
        <f>data!A45</f>
        <v>MXZ-2C20NAHZ (Non-Ducted)</v>
      </c>
      <c r="C12" s="203">
        <f>data!B45</f>
        <v>20000</v>
      </c>
      <c r="D12" s="203">
        <f>data!C45</f>
        <v>22000</v>
      </c>
      <c r="E12" s="204">
        <f>data!D45</f>
        <v>4</v>
      </c>
      <c r="F12" s="204">
        <f>data!E45</f>
        <v>2.77</v>
      </c>
      <c r="G12" s="204">
        <f>data!F45</f>
        <v>2.0699999999999998</v>
      </c>
      <c r="H12" s="204">
        <f>data!G45</f>
        <v>3.9566236811254396</v>
      </c>
      <c r="I12" s="204">
        <f>data!H45</f>
        <v>4.9824150058616645</v>
      </c>
      <c r="J12" s="204">
        <f>data!I45</f>
        <v>17</v>
      </c>
      <c r="K12" s="204">
        <f>data!J45</f>
        <v>13.5</v>
      </c>
      <c r="L12" s="197">
        <f>data!K45</f>
        <v>0.05</v>
      </c>
      <c r="M12" s="203">
        <f>data!L45</f>
        <v>22000</v>
      </c>
      <c r="N12" s="203">
        <f>data!M45</f>
        <v>22000</v>
      </c>
      <c r="O12" s="205">
        <f>data!P45</f>
        <v>-18</v>
      </c>
      <c r="P12" s="205">
        <f>data!Q45</f>
        <v>0.12</v>
      </c>
      <c r="Q12" s="206">
        <f t="shared" si="21"/>
        <v>0</v>
      </c>
      <c r="R12" s="207">
        <f t="shared" si="22"/>
        <v>0</v>
      </c>
      <c r="S12" s="198">
        <f t="shared" si="17"/>
        <v>0</v>
      </c>
      <c r="T12" s="198">
        <f t="shared" si="2"/>
        <v>0</v>
      </c>
      <c r="U12" s="198">
        <f t="shared" si="2"/>
        <v>0</v>
      </c>
      <c r="V12" s="198">
        <f t="shared" si="2"/>
        <v>0</v>
      </c>
      <c r="W12" s="198">
        <f t="shared" si="2"/>
        <v>0</v>
      </c>
      <c r="X12" s="198">
        <f t="shared" si="2"/>
        <v>0</v>
      </c>
      <c r="Y12" s="198">
        <f t="shared" si="2"/>
        <v>0</v>
      </c>
      <c r="Z12" s="198">
        <f t="shared" si="2"/>
        <v>0</v>
      </c>
      <c r="AA12" s="198">
        <f t="shared" si="18"/>
        <v>0</v>
      </c>
      <c r="AB12" s="198">
        <f t="shared" si="18"/>
        <v>0</v>
      </c>
      <c r="AC12" s="198">
        <f t="shared" si="19"/>
        <v>0</v>
      </c>
      <c r="AD12" s="198">
        <f t="shared" si="20"/>
        <v>0</v>
      </c>
      <c r="AE12" s="216">
        <f t="shared" ref="AE12:AE32" si="71">IF(Q12=0,0,Q12/$Q$34)</f>
        <v>0</v>
      </c>
      <c r="AF12" s="218">
        <f t="shared" si="23"/>
        <v>0</v>
      </c>
      <c r="AG12" s="219">
        <f t="shared" si="23"/>
        <v>0</v>
      </c>
      <c r="AH12" s="221">
        <f t="shared" si="24"/>
        <v>0</v>
      </c>
      <c r="AI12" s="221">
        <f t="shared" si="24"/>
        <v>0</v>
      </c>
      <c r="AJ12" s="221">
        <f t="shared" si="24"/>
        <v>0</v>
      </c>
      <c r="AK12" s="221">
        <f t="shared" si="24"/>
        <v>0</v>
      </c>
      <c r="AL12" s="221">
        <f t="shared" si="24"/>
        <v>0</v>
      </c>
      <c r="AM12" s="221">
        <f t="shared" si="24"/>
        <v>0</v>
      </c>
      <c r="AN12" s="221">
        <f t="shared" si="24"/>
        <v>0</v>
      </c>
      <c r="AO12" s="221">
        <f t="shared" si="24"/>
        <v>0</v>
      </c>
      <c r="AP12" s="220">
        <f t="shared" si="25"/>
        <v>0</v>
      </c>
      <c r="AQ12" s="220">
        <f t="shared" si="25"/>
        <v>0</v>
      </c>
      <c r="AR12" s="198">
        <f t="shared" si="24"/>
        <v>0</v>
      </c>
      <c r="AS12" s="198">
        <f t="shared" si="24"/>
        <v>0</v>
      </c>
    </row>
    <row r="13" spans="1:45">
      <c r="A13" s="240"/>
      <c r="B13" s="242" t="str">
        <f>data!A46</f>
        <v>MXZ-2C20NAHZ (Mixed)</v>
      </c>
      <c r="C13" s="203">
        <f>data!B46</f>
        <v>20000</v>
      </c>
      <c r="D13" s="203">
        <f>data!C46</f>
        <v>22000</v>
      </c>
      <c r="E13" s="204">
        <f>data!D46</f>
        <v>3.8449999999999998</v>
      </c>
      <c r="F13" s="204">
        <f>data!E46</f>
        <v>2.65</v>
      </c>
      <c r="G13" s="204">
        <f>data!F46</f>
        <v>1.9803249097472921</v>
      </c>
      <c r="H13" s="204">
        <f>data!G46</f>
        <v>3.5902696365767879</v>
      </c>
      <c r="I13" s="204">
        <f>data!H46</f>
        <v>4.6893317702227435</v>
      </c>
      <c r="J13" s="204">
        <f>data!I46</f>
        <v>16</v>
      </c>
      <c r="K13" s="204">
        <f>data!J46</f>
        <v>12.25</v>
      </c>
      <c r="L13" s="197">
        <f>data!K46</f>
        <v>7.5000000000000011E-2</v>
      </c>
      <c r="M13" s="203">
        <f>data!L46</f>
        <v>22000</v>
      </c>
      <c r="N13" s="203">
        <f>data!M46</f>
        <v>22000</v>
      </c>
      <c r="O13" s="205">
        <f>data!P46</f>
        <v>-18</v>
      </c>
      <c r="P13" s="205">
        <f>data!Q46</f>
        <v>0.12</v>
      </c>
      <c r="Q13" s="206">
        <f t="shared" si="21"/>
        <v>0</v>
      </c>
      <c r="R13" s="207">
        <f t="shared" si="22"/>
        <v>0</v>
      </c>
      <c r="S13" s="198">
        <f t="shared" si="17"/>
        <v>0</v>
      </c>
      <c r="T13" s="198">
        <f t="shared" si="2"/>
        <v>0</v>
      </c>
      <c r="U13" s="198">
        <f t="shared" si="2"/>
        <v>0</v>
      </c>
      <c r="V13" s="198">
        <f t="shared" si="2"/>
        <v>0</v>
      </c>
      <c r="W13" s="198">
        <f t="shared" si="2"/>
        <v>0</v>
      </c>
      <c r="X13" s="198">
        <f t="shared" si="2"/>
        <v>0</v>
      </c>
      <c r="Y13" s="198">
        <f t="shared" si="2"/>
        <v>0</v>
      </c>
      <c r="Z13" s="198">
        <f t="shared" si="2"/>
        <v>0</v>
      </c>
      <c r="AA13" s="198">
        <f t="shared" si="18"/>
        <v>0</v>
      </c>
      <c r="AB13" s="198">
        <f t="shared" si="18"/>
        <v>0</v>
      </c>
      <c r="AC13" s="198">
        <f t="shared" si="19"/>
        <v>0</v>
      </c>
      <c r="AD13" s="198">
        <f t="shared" si="20"/>
        <v>0</v>
      </c>
      <c r="AE13" s="216">
        <f t="shared" si="71"/>
        <v>0</v>
      </c>
      <c r="AF13" s="218">
        <f t="shared" si="23"/>
        <v>0</v>
      </c>
      <c r="AG13" s="219">
        <f t="shared" si="23"/>
        <v>0</v>
      </c>
      <c r="AH13" s="221">
        <f t="shared" si="24"/>
        <v>0</v>
      </c>
      <c r="AI13" s="221">
        <f t="shared" si="24"/>
        <v>0</v>
      </c>
      <c r="AJ13" s="221">
        <f t="shared" si="24"/>
        <v>0</v>
      </c>
      <c r="AK13" s="221">
        <f t="shared" si="24"/>
        <v>0</v>
      </c>
      <c r="AL13" s="221">
        <f t="shared" si="24"/>
        <v>0</v>
      </c>
      <c r="AM13" s="221">
        <f t="shared" si="24"/>
        <v>0</v>
      </c>
      <c r="AN13" s="221">
        <f t="shared" si="24"/>
        <v>0</v>
      </c>
      <c r="AO13" s="221">
        <f t="shared" si="24"/>
        <v>0</v>
      </c>
      <c r="AP13" s="220">
        <f t="shared" si="25"/>
        <v>0</v>
      </c>
      <c r="AQ13" s="220">
        <f t="shared" si="25"/>
        <v>0</v>
      </c>
      <c r="AR13" s="198">
        <f t="shared" si="24"/>
        <v>0</v>
      </c>
      <c r="AS13" s="198">
        <f t="shared" si="24"/>
        <v>0</v>
      </c>
    </row>
    <row r="14" spans="1:45">
      <c r="A14" s="240"/>
      <c r="B14" s="242" t="str">
        <f>data!A47</f>
        <v>MXZ-2C20NAHZ (Ducted)</v>
      </c>
      <c r="C14" s="203">
        <f>data!B47</f>
        <v>20000</v>
      </c>
      <c r="D14" s="203">
        <f>data!C47</f>
        <v>22000</v>
      </c>
      <c r="E14" s="204">
        <f>data!D47</f>
        <v>3.69</v>
      </c>
      <c r="F14" s="204">
        <f>data!E47</f>
        <v>2.5299999999999998</v>
      </c>
      <c r="G14" s="204">
        <f>data!F47</f>
        <v>1.8906498194945847</v>
      </c>
      <c r="H14" s="204">
        <f>data!G47</f>
        <v>3.2239155920281362</v>
      </c>
      <c r="I14" s="204">
        <f>data!H47</f>
        <v>4.3962485345838216</v>
      </c>
      <c r="J14" s="204">
        <f>data!I47</f>
        <v>15</v>
      </c>
      <c r="K14" s="204">
        <f>data!J47</f>
        <v>11</v>
      </c>
      <c r="L14" s="197">
        <f>data!K47</f>
        <v>0.1</v>
      </c>
      <c r="M14" s="203">
        <f>data!L47</f>
        <v>22000</v>
      </c>
      <c r="N14" s="203">
        <f>data!M47</f>
        <v>22000</v>
      </c>
      <c r="O14" s="205">
        <f>data!P47</f>
        <v>-18</v>
      </c>
      <c r="P14" s="205">
        <f>data!Q47</f>
        <v>0.12</v>
      </c>
      <c r="Q14" s="206">
        <f t="shared" si="21"/>
        <v>0</v>
      </c>
      <c r="R14" s="207">
        <f t="shared" si="22"/>
        <v>0</v>
      </c>
      <c r="S14" s="198">
        <f t="shared" si="17"/>
        <v>0</v>
      </c>
      <c r="T14" s="198">
        <f t="shared" si="2"/>
        <v>0</v>
      </c>
      <c r="U14" s="198">
        <f t="shared" si="2"/>
        <v>0</v>
      </c>
      <c r="V14" s="198">
        <f t="shared" si="2"/>
        <v>0</v>
      </c>
      <c r="W14" s="198">
        <f t="shared" si="2"/>
        <v>0</v>
      </c>
      <c r="X14" s="198">
        <f t="shared" si="2"/>
        <v>0</v>
      </c>
      <c r="Y14" s="198">
        <f t="shared" si="2"/>
        <v>0</v>
      </c>
      <c r="Z14" s="198">
        <f t="shared" si="2"/>
        <v>0</v>
      </c>
      <c r="AA14" s="198">
        <f t="shared" si="18"/>
        <v>0</v>
      </c>
      <c r="AB14" s="198">
        <f t="shared" si="18"/>
        <v>0</v>
      </c>
      <c r="AC14" s="198">
        <f t="shared" si="19"/>
        <v>0</v>
      </c>
      <c r="AD14" s="198">
        <f t="shared" si="20"/>
        <v>0</v>
      </c>
      <c r="AE14" s="216">
        <f t="shared" si="71"/>
        <v>0</v>
      </c>
      <c r="AF14" s="218">
        <f t="shared" si="23"/>
        <v>0</v>
      </c>
      <c r="AG14" s="219">
        <f t="shared" si="23"/>
        <v>0</v>
      </c>
      <c r="AH14" s="221">
        <f t="shared" si="24"/>
        <v>0</v>
      </c>
      <c r="AI14" s="221">
        <f t="shared" si="24"/>
        <v>0</v>
      </c>
      <c r="AJ14" s="221">
        <f t="shared" si="24"/>
        <v>0</v>
      </c>
      <c r="AK14" s="221">
        <f t="shared" si="24"/>
        <v>0</v>
      </c>
      <c r="AL14" s="221">
        <f t="shared" si="24"/>
        <v>0</v>
      </c>
      <c r="AM14" s="221">
        <f t="shared" si="24"/>
        <v>0</v>
      </c>
      <c r="AN14" s="221">
        <f t="shared" si="24"/>
        <v>0</v>
      </c>
      <c r="AO14" s="221">
        <f t="shared" si="24"/>
        <v>0</v>
      </c>
      <c r="AP14" s="220">
        <f t="shared" si="25"/>
        <v>0</v>
      </c>
      <c r="AQ14" s="220">
        <f t="shared" si="25"/>
        <v>0</v>
      </c>
      <c r="AR14" s="198">
        <f t="shared" si="24"/>
        <v>0</v>
      </c>
      <c r="AS14" s="198">
        <f t="shared" si="24"/>
        <v>0</v>
      </c>
    </row>
    <row r="15" spans="1:45">
      <c r="A15" s="240"/>
      <c r="B15" s="242" t="str">
        <f>data!A48</f>
        <v>MXZ-3C24NAHZ (Non-Ducted)</v>
      </c>
      <c r="C15" s="203">
        <f>data!B48</f>
        <v>24000</v>
      </c>
      <c r="D15" s="203">
        <f>data!C48</f>
        <v>25000</v>
      </c>
      <c r="E15" s="204">
        <f>data!D48</f>
        <v>4.25</v>
      </c>
      <c r="F15" s="204">
        <f>data!E48</f>
        <v>2.5299999999999998</v>
      </c>
      <c r="G15" s="204">
        <f>data!F48</f>
        <v>1.92</v>
      </c>
      <c r="H15" s="204">
        <f>data!G48</f>
        <v>3.9566236811254396</v>
      </c>
      <c r="I15" s="204">
        <f>data!H48</f>
        <v>5.5685814771395075</v>
      </c>
      <c r="J15" s="204">
        <f>data!I48</f>
        <v>19</v>
      </c>
      <c r="K15" s="204">
        <f>data!J48</f>
        <v>13.5</v>
      </c>
      <c r="L15" s="197">
        <f>data!K48</f>
        <v>0.05</v>
      </c>
      <c r="M15" s="203">
        <f>data!L48</f>
        <v>25000</v>
      </c>
      <c r="N15" s="203">
        <f>data!M48</f>
        <v>25000</v>
      </c>
      <c r="O15" s="205">
        <f>data!P48</f>
        <v>-18</v>
      </c>
      <c r="P15" s="205">
        <f>data!Q48</f>
        <v>0.12</v>
      </c>
      <c r="Q15" s="206">
        <f t="shared" si="21"/>
        <v>0</v>
      </c>
      <c r="R15" s="207">
        <f t="shared" si="22"/>
        <v>0</v>
      </c>
      <c r="S15" s="198">
        <f t="shared" si="17"/>
        <v>0</v>
      </c>
      <c r="T15" s="198">
        <f t="shared" si="2"/>
        <v>0</v>
      </c>
      <c r="U15" s="198">
        <f t="shared" si="2"/>
        <v>0</v>
      </c>
      <c r="V15" s="198">
        <f t="shared" si="2"/>
        <v>0</v>
      </c>
      <c r="W15" s="198">
        <f t="shared" si="2"/>
        <v>0</v>
      </c>
      <c r="X15" s="198">
        <f t="shared" si="2"/>
        <v>0</v>
      </c>
      <c r="Y15" s="198">
        <f t="shared" si="2"/>
        <v>0</v>
      </c>
      <c r="Z15" s="198">
        <f t="shared" si="2"/>
        <v>0</v>
      </c>
      <c r="AA15" s="198">
        <f t="shared" si="18"/>
        <v>0</v>
      </c>
      <c r="AB15" s="198">
        <f t="shared" si="18"/>
        <v>0</v>
      </c>
      <c r="AC15" s="198">
        <f t="shared" si="19"/>
        <v>0</v>
      </c>
      <c r="AD15" s="198">
        <f t="shared" si="20"/>
        <v>0</v>
      </c>
      <c r="AE15" s="216">
        <f t="shared" si="71"/>
        <v>0</v>
      </c>
      <c r="AF15" s="218">
        <f t="shared" si="23"/>
        <v>0</v>
      </c>
      <c r="AG15" s="219">
        <f t="shared" si="23"/>
        <v>0</v>
      </c>
      <c r="AH15" s="221">
        <f t="shared" si="24"/>
        <v>0</v>
      </c>
      <c r="AI15" s="221">
        <f t="shared" si="24"/>
        <v>0</v>
      </c>
      <c r="AJ15" s="221">
        <f t="shared" si="24"/>
        <v>0</v>
      </c>
      <c r="AK15" s="221">
        <f t="shared" si="24"/>
        <v>0</v>
      </c>
      <c r="AL15" s="221">
        <f t="shared" si="24"/>
        <v>0</v>
      </c>
      <c r="AM15" s="221">
        <f t="shared" si="24"/>
        <v>0</v>
      </c>
      <c r="AN15" s="221">
        <f t="shared" si="24"/>
        <v>0</v>
      </c>
      <c r="AO15" s="221">
        <f t="shared" si="24"/>
        <v>0</v>
      </c>
      <c r="AP15" s="220">
        <f t="shared" si="25"/>
        <v>0</v>
      </c>
      <c r="AQ15" s="220">
        <f t="shared" si="25"/>
        <v>0</v>
      </c>
      <c r="AR15" s="198">
        <f t="shared" si="24"/>
        <v>0</v>
      </c>
      <c r="AS15" s="198">
        <f t="shared" si="24"/>
        <v>0</v>
      </c>
    </row>
    <row r="16" spans="1:45">
      <c r="A16" s="240"/>
      <c r="B16" s="242" t="str">
        <f>data!A49</f>
        <v>MXZ-3C24NAHZ (Mixed)</v>
      </c>
      <c r="C16" s="203">
        <f>data!B49</f>
        <v>24000</v>
      </c>
      <c r="D16" s="203">
        <f>data!C49</f>
        <v>25000</v>
      </c>
      <c r="E16" s="204">
        <f>data!D49</f>
        <v>4.0250000000000004</v>
      </c>
      <c r="F16" s="204">
        <f>data!E49</f>
        <v>2.5199999999999996</v>
      </c>
      <c r="G16" s="204">
        <f>data!F49</f>
        <v>1.9124110671936758</v>
      </c>
      <c r="H16" s="204">
        <f>data!G49</f>
        <v>3.4437280187573274</v>
      </c>
      <c r="I16" s="204">
        <f>data!H49</f>
        <v>5.0556858147713948</v>
      </c>
      <c r="J16" s="204">
        <f>data!I49</f>
        <v>17.25</v>
      </c>
      <c r="K16" s="204">
        <f>data!J49</f>
        <v>11.75</v>
      </c>
      <c r="L16" s="197">
        <f>data!K49</f>
        <v>7.5000000000000011E-2</v>
      </c>
      <c r="M16" s="203">
        <f>data!L49</f>
        <v>25000</v>
      </c>
      <c r="N16" s="203">
        <f>data!M49</f>
        <v>25000</v>
      </c>
      <c r="O16" s="205">
        <f>data!P49</f>
        <v>-18</v>
      </c>
      <c r="P16" s="205">
        <f>data!Q49</f>
        <v>0.12</v>
      </c>
      <c r="Q16" s="206">
        <f t="shared" si="21"/>
        <v>0</v>
      </c>
      <c r="R16" s="207">
        <f t="shared" si="22"/>
        <v>0</v>
      </c>
      <c r="S16" s="198">
        <f t="shared" si="17"/>
        <v>0</v>
      </c>
      <c r="T16" s="198">
        <f t="shared" si="2"/>
        <v>0</v>
      </c>
      <c r="U16" s="198">
        <f t="shared" si="2"/>
        <v>0</v>
      </c>
      <c r="V16" s="198">
        <f t="shared" si="2"/>
        <v>0</v>
      </c>
      <c r="W16" s="198">
        <f t="shared" si="2"/>
        <v>0</v>
      </c>
      <c r="X16" s="198">
        <f t="shared" si="2"/>
        <v>0</v>
      </c>
      <c r="Y16" s="198">
        <f t="shared" si="2"/>
        <v>0</v>
      </c>
      <c r="Z16" s="198">
        <f t="shared" si="2"/>
        <v>0</v>
      </c>
      <c r="AA16" s="198">
        <f t="shared" si="18"/>
        <v>0</v>
      </c>
      <c r="AB16" s="198">
        <f t="shared" si="18"/>
        <v>0</v>
      </c>
      <c r="AC16" s="198">
        <f t="shared" si="19"/>
        <v>0</v>
      </c>
      <c r="AD16" s="198">
        <f t="shared" si="20"/>
        <v>0</v>
      </c>
      <c r="AE16" s="216">
        <f t="shared" si="71"/>
        <v>0</v>
      </c>
      <c r="AF16" s="218">
        <f t="shared" si="23"/>
        <v>0</v>
      </c>
      <c r="AG16" s="219">
        <f t="shared" si="23"/>
        <v>0</v>
      </c>
      <c r="AH16" s="221">
        <f t="shared" si="24"/>
        <v>0</v>
      </c>
      <c r="AI16" s="221">
        <f t="shared" si="24"/>
        <v>0</v>
      </c>
      <c r="AJ16" s="221">
        <f t="shared" si="24"/>
        <v>0</v>
      </c>
      <c r="AK16" s="221">
        <f t="shared" si="24"/>
        <v>0</v>
      </c>
      <c r="AL16" s="221">
        <f t="shared" si="24"/>
        <v>0</v>
      </c>
      <c r="AM16" s="221">
        <f t="shared" si="24"/>
        <v>0</v>
      </c>
      <c r="AN16" s="221">
        <f t="shared" si="24"/>
        <v>0</v>
      </c>
      <c r="AO16" s="221">
        <f t="shared" si="24"/>
        <v>0</v>
      </c>
      <c r="AP16" s="220">
        <f t="shared" si="25"/>
        <v>0</v>
      </c>
      <c r="AQ16" s="220">
        <f t="shared" si="25"/>
        <v>0</v>
      </c>
      <c r="AR16" s="198">
        <f t="shared" si="24"/>
        <v>0</v>
      </c>
      <c r="AS16" s="198">
        <f t="shared" si="24"/>
        <v>0</v>
      </c>
    </row>
    <row r="17" spans="1:45">
      <c r="A17" s="240"/>
      <c r="B17" s="242" t="str">
        <f>data!A50</f>
        <v>MXZ-3C24NAHZ (Ducted)</v>
      </c>
      <c r="C17" s="203">
        <f>data!B50</f>
        <v>24000</v>
      </c>
      <c r="D17" s="203">
        <f>data!C50</f>
        <v>25000</v>
      </c>
      <c r="E17" s="204">
        <f>data!D50</f>
        <v>3.8</v>
      </c>
      <c r="F17" s="204">
        <f>data!E50</f>
        <v>2.5099999999999998</v>
      </c>
      <c r="G17" s="204">
        <f>data!F50</f>
        <v>1.9048221343873517</v>
      </c>
      <c r="H17" s="204">
        <f>data!G50</f>
        <v>2.9308323563892147</v>
      </c>
      <c r="I17" s="204">
        <f>data!H50</f>
        <v>4.542790152403283</v>
      </c>
      <c r="J17" s="204">
        <f>data!I50</f>
        <v>15.5</v>
      </c>
      <c r="K17" s="204">
        <f>data!J50</f>
        <v>10</v>
      </c>
      <c r="L17" s="197">
        <f>data!K50</f>
        <v>0.1</v>
      </c>
      <c r="M17" s="203">
        <f>data!L50</f>
        <v>25000</v>
      </c>
      <c r="N17" s="203">
        <f>data!M50</f>
        <v>25000</v>
      </c>
      <c r="O17" s="205">
        <f>data!P50</f>
        <v>-18</v>
      </c>
      <c r="P17" s="205">
        <f>data!Q50</f>
        <v>0.12</v>
      </c>
      <c r="Q17" s="206">
        <f t="shared" si="21"/>
        <v>0</v>
      </c>
      <c r="R17" s="207">
        <f t="shared" si="22"/>
        <v>0</v>
      </c>
      <c r="S17" s="198">
        <f t="shared" si="17"/>
        <v>0</v>
      </c>
      <c r="T17" s="198">
        <f t="shared" si="2"/>
        <v>0</v>
      </c>
      <c r="U17" s="198">
        <f t="shared" si="2"/>
        <v>0</v>
      </c>
      <c r="V17" s="198">
        <f t="shared" si="2"/>
        <v>0</v>
      </c>
      <c r="W17" s="198">
        <f t="shared" si="2"/>
        <v>0</v>
      </c>
      <c r="X17" s="198">
        <f t="shared" si="2"/>
        <v>0</v>
      </c>
      <c r="Y17" s="198">
        <f t="shared" si="2"/>
        <v>0</v>
      </c>
      <c r="Z17" s="198">
        <f t="shared" si="2"/>
        <v>0</v>
      </c>
      <c r="AA17" s="198">
        <f t="shared" si="18"/>
        <v>0</v>
      </c>
      <c r="AB17" s="198">
        <f t="shared" si="18"/>
        <v>0</v>
      </c>
      <c r="AC17" s="198">
        <f t="shared" si="19"/>
        <v>0</v>
      </c>
      <c r="AD17" s="198">
        <f t="shared" si="20"/>
        <v>0</v>
      </c>
      <c r="AE17" s="216">
        <f t="shared" si="71"/>
        <v>0</v>
      </c>
      <c r="AF17" s="218">
        <f t="shared" si="23"/>
        <v>0</v>
      </c>
      <c r="AG17" s="219">
        <f t="shared" si="23"/>
        <v>0</v>
      </c>
      <c r="AH17" s="221">
        <f t="shared" si="24"/>
        <v>0</v>
      </c>
      <c r="AI17" s="221">
        <f t="shared" si="24"/>
        <v>0</v>
      </c>
      <c r="AJ17" s="221">
        <f t="shared" si="24"/>
        <v>0</v>
      </c>
      <c r="AK17" s="221">
        <f t="shared" si="24"/>
        <v>0</v>
      </c>
      <c r="AL17" s="221">
        <f t="shared" si="24"/>
        <v>0</v>
      </c>
      <c r="AM17" s="221">
        <f t="shared" si="24"/>
        <v>0</v>
      </c>
      <c r="AN17" s="221">
        <f t="shared" si="24"/>
        <v>0</v>
      </c>
      <c r="AO17" s="221">
        <f t="shared" si="24"/>
        <v>0</v>
      </c>
      <c r="AP17" s="220">
        <f t="shared" si="25"/>
        <v>0</v>
      </c>
      <c r="AQ17" s="220">
        <f t="shared" si="25"/>
        <v>0</v>
      </c>
      <c r="AR17" s="198">
        <f t="shared" si="24"/>
        <v>0</v>
      </c>
      <c r="AS17" s="198">
        <f t="shared" si="24"/>
        <v>0</v>
      </c>
    </row>
    <row r="18" spans="1:45">
      <c r="A18" s="240"/>
      <c r="B18" s="242" t="str">
        <f>data!A51</f>
        <v>MXZ-3C30NAHZ (Non-Ducted)</v>
      </c>
      <c r="C18" s="203">
        <f>data!B51</f>
        <v>30000</v>
      </c>
      <c r="D18" s="203">
        <f>data!C51</f>
        <v>28600</v>
      </c>
      <c r="E18" s="204">
        <f>data!D51</f>
        <v>4</v>
      </c>
      <c r="F18" s="204">
        <f>data!E51</f>
        <v>2.65</v>
      </c>
      <c r="G18" s="204">
        <f>data!F51</f>
        <v>1.75</v>
      </c>
      <c r="H18" s="204">
        <f>data!G51</f>
        <v>3.6635404454865181</v>
      </c>
      <c r="I18" s="204">
        <f>data!H51</f>
        <v>5.2754982415005864</v>
      </c>
      <c r="J18" s="204">
        <f>data!I51</f>
        <v>18</v>
      </c>
      <c r="K18" s="204">
        <f>data!J51</f>
        <v>12.5</v>
      </c>
      <c r="L18" s="197">
        <f>data!K51</f>
        <v>0.05</v>
      </c>
      <c r="M18" s="203">
        <f>data!L51</f>
        <v>28600</v>
      </c>
      <c r="N18" s="203">
        <f>data!M51</f>
        <v>28600</v>
      </c>
      <c r="O18" s="205">
        <f>data!P51</f>
        <v>-18</v>
      </c>
      <c r="P18" s="205">
        <f>data!Q51</f>
        <v>0.12</v>
      </c>
      <c r="Q18" s="206">
        <f t="shared" ref="Q18:Q23" si="72">A18*C18</f>
        <v>0</v>
      </c>
      <c r="R18" s="207">
        <f t="shared" ref="R18:R23" si="73">A18*D18</f>
        <v>0</v>
      </c>
      <c r="S18" s="198">
        <f t="shared" si="17"/>
        <v>0</v>
      </c>
      <c r="T18" s="198">
        <f t="shared" si="2"/>
        <v>0</v>
      </c>
      <c r="U18" s="198">
        <f t="shared" si="2"/>
        <v>0</v>
      </c>
      <c r="V18" s="198">
        <f t="shared" si="2"/>
        <v>0</v>
      </c>
      <c r="W18" s="198">
        <f t="shared" si="2"/>
        <v>0</v>
      </c>
      <c r="X18" s="198">
        <f t="shared" si="2"/>
        <v>0</v>
      </c>
      <c r="Y18" s="198">
        <f t="shared" si="2"/>
        <v>0</v>
      </c>
      <c r="Z18" s="198">
        <f t="shared" si="2"/>
        <v>0</v>
      </c>
      <c r="AA18" s="198">
        <f t="shared" si="18"/>
        <v>0</v>
      </c>
      <c r="AB18" s="198">
        <f t="shared" si="18"/>
        <v>0</v>
      </c>
      <c r="AC18" s="198">
        <f t="shared" si="19"/>
        <v>0</v>
      </c>
      <c r="AD18" s="198">
        <f t="shared" si="20"/>
        <v>0</v>
      </c>
      <c r="AE18" s="216">
        <f t="shared" si="71"/>
        <v>0</v>
      </c>
      <c r="AF18" s="218">
        <f t="shared" ref="AF18:AF23" si="74">Q18</f>
        <v>0</v>
      </c>
      <c r="AG18" s="219">
        <f t="shared" ref="AG18:AG23" si="75">R18</f>
        <v>0</v>
      </c>
      <c r="AH18" s="221">
        <f t="shared" ref="AH18:AH23" si="76">S18*$AE18</f>
        <v>0</v>
      </c>
      <c r="AI18" s="221">
        <f t="shared" ref="AI18:AI23" si="77">T18*$AE18</f>
        <v>0</v>
      </c>
      <c r="AJ18" s="221">
        <f t="shared" ref="AJ18:AJ23" si="78">U18*$AE18</f>
        <v>0</v>
      </c>
      <c r="AK18" s="221">
        <f t="shared" ref="AK18:AK23" si="79">V18*$AE18</f>
        <v>0</v>
      </c>
      <c r="AL18" s="221">
        <f t="shared" ref="AL18:AL23" si="80">W18*$AE18</f>
        <v>0</v>
      </c>
      <c r="AM18" s="221">
        <f t="shared" ref="AM18:AM23" si="81">X18*$AE18</f>
        <v>0</v>
      </c>
      <c r="AN18" s="221">
        <f t="shared" ref="AN18:AN23" si="82">Y18*$AE18</f>
        <v>0</v>
      </c>
      <c r="AO18" s="221">
        <f t="shared" ref="AO18:AO23" si="83">Z18*$AE18</f>
        <v>0</v>
      </c>
      <c r="AP18" s="220">
        <f t="shared" ref="AP18:AP23" si="84">AA18</f>
        <v>0</v>
      </c>
      <c r="AQ18" s="220">
        <f t="shared" ref="AQ18:AQ23" si="85">AB18</f>
        <v>0</v>
      </c>
      <c r="AR18" s="198">
        <f t="shared" ref="AR18:AR23" si="86">AC18*$AE18</f>
        <v>0</v>
      </c>
      <c r="AS18" s="198">
        <f t="shared" ref="AS18:AS23" si="87">AD18*$AE18</f>
        <v>0</v>
      </c>
    </row>
    <row r="19" spans="1:45">
      <c r="A19" s="240"/>
      <c r="B19" s="242" t="str">
        <f>data!A52</f>
        <v>MXZ-3C30NAHZ (Mixed)</v>
      </c>
      <c r="C19" s="203">
        <f>data!B52</f>
        <v>30000</v>
      </c>
      <c r="D19" s="203">
        <f>data!C52</f>
        <v>28600</v>
      </c>
      <c r="E19" s="204">
        <f>data!D52</f>
        <v>3.85</v>
      </c>
      <c r="F19" s="204">
        <f>data!E52</f>
        <v>2.5750000000000002</v>
      </c>
      <c r="G19" s="204">
        <f>data!F52</f>
        <v>1.7004716981132075</v>
      </c>
      <c r="H19" s="204">
        <f>data!G52</f>
        <v>3.3411488862837047</v>
      </c>
      <c r="I19" s="204">
        <f>data!H52</f>
        <v>4.9824150058616645</v>
      </c>
      <c r="J19" s="204">
        <f>data!I52</f>
        <v>17</v>
      </c>
      <c r="K19" s="204">
        <f>data!J52</f>
        <v>11.4</v>
      </c>
      <c r="L19" s="197">
        <f>data!K52</f>
        <v>7.5000000000000011E-2</v>
      </c>
      <c r="M19" s="203">
        <f>data!L52</f>
        <v>28600</v>
      </c>
      <c r="N19" s="203">
        <f>data!M52</f>
        <v>28600</v>
      </c>
      <c r="O19" s="205">
        <f>data!P52</f>
        <v>-18</v>
      </c>
      <c r="P19" s="205">
        <f>data!Q52</f>
        <v>0.12</v>
      </c>
      <c r="Q19" s="206">
        <f t="shared" si="72"/>
        <v>0</v>
      </c>
      <c r="R19" s="207">
        <f t="shared" si="73"/>
        <v>0</v>
      </c>
      <c r="S19" s="198">
        <f t="shared" si="17"/>
        <v>0</v>
      </c>
      <c r="T19" s="198">
        <f t="shared" si="2"/>
        <v>0</v>
      </c>
      <c r="U19" s="198">
        <f t="shared" si="2"/>
        <v>0</v>
      </c>
      <c r="V19" s="198">
        <f t="shared" si="2"/>
        <v>0</v>
      </c>
      <c r="W19" s="198">
        <f t="shared" si="2"/>
        <v>0</v>
      </c>
      <c r="X19" s="198">
        <f t="shared" si="2"/>
        <v>0</v>
      </c>
      <c r="Y19" s="198">
        <f t="shared" si="2"/>
        <v>0</v>
      </c>
      <c r="Z19" s="198">
        <f t="shared" si="2"/>
        <v>0</v>
      </c>
      <c r="AA19" s="198">
        <f t="shared" si="18"/>
        <v>0</v>
      </c>
      <c r="AB19" s="198">
        <f t="shared" si="18"/>
        <v>0</v>
      </c>
      <c r="AC19" s="198">
        <f t="shared" si="19"/>
        <v>0</v>
      </c>
      <c r="AD19" s="198">
        <f t="shared" si="20"/>
        <v>0</v>
      </c>
      <c r="AE19" s="216">
        <f t="shared" si="71"/>
        <v>0</v>
      </c>
      <c r="AF19" s="218">
        <f t="shared" si="74"/>
        <v>0</v>
      </c>
      <c r="AG19" s="219">
        <f t="shared" si="75"/>
        <v>0</v>
      </c>
      <c r="AH19" s="221">
        <f t="shared" si="76"/>
        <v>0</v>
      </c>
      <c r="AI19" s="221">
        <f t="shared" si="77"/>
        <v>0</v>
      </c>
      <c r="AJ19" s="221">
        <f t="shared" si="78"/>
        <v>0</v>
      </c>
      <c r="AK19" s="221">
        <f t="shared" si="79"/>
        <v>0</v>
      </c>
      <c r="AL19" s="221">
        <f t="shared" si="80"/>
        <v>0</v>
      </c>
      <c r="AM19" s="221">
        <f t="shared" si="81"/>
        <v>0</v>
      </c>
      <c r="AN19" s="221">
        <f t="shared" si="82"/>
        <v>0</v>
      </c>
      <c r="AO19" s="221">
        <f t="shared" si="83"/>
        <v>0</v>
      </c>
      <c r="AP19" s="220">
        <f t="shared" si="84"/>
        <v>0</v>
      </c>
      <c r="AQ19" s="220">
        <f t="shared" si="85"/>
        <v>0</v>
      </c>
      <c r="AR19" s="198">
        <f t="shared" si="86"/>
        <v>0</v>
      </c>
      <c r="AS19" s="198">
        <f t="shared" si="87"/>
        <v>0</v>
      </c>
    </row>
    <row r="20" spans="1:45">
      <c r="A20" s="240">
        <v>2</v>
      </c>
      <c r="B20" s="242" t="str">
        <f>data!A53</f>
        <v>MXZ-3C30NAHZ (Ducted)</v>
      </c>
      <c r="C20" s="203">
        <f>data!B53</f>
        <v>30000</v>
      </c>
      <c r="D20" s="203">
        <f>data!C53</f>
        <v>28600</v>
      </c>
      <c r="E20" s="204">
        <f>data!D53</f>
        <v>3.7</v>
      </c>
      <c r="F20" s="204">
        <f>data!E53</f>
        <v>2.5</v>
      </c>
      <c r="G20" s="204">
        <f>data!F53</f>
        <v>1.6509433962264153</v>
      </c>
      <c r="H20" s="204">
        <f>data!G53</f>
        <v>3.0187573270808912</v>
      </c>
      <c r="I20" s="204">
        <f>data!H53</f>
        <v>4.6893317702227435</v>
      </c>
      <c r="J20" s="204">
        <f>data!I53</f>
        <v>16</v>
      </c>
      <c r="K20" s="204">
        <f>data!J53</f>
        <v>10.3</v>
      </c>
      <c r="L20" s="197">
        <f>data!K53</f>
        <v>0.1</v>
      </c>
      <c r="M20" s="203">
        <f>data!L53</f>
        <v>28600</v>
      </c>
      <c r="N20" s="203">
        <f>data!M53</f>
        <v>28600</v>
      </c>
      <c r="O20" s="205">
        <f>data!P53</f>
        <v>-18</v>
      </c>
      <c r="P20" s="205">
        <f>data!Q53</f>
        <v>0.12</v>
      </c>
      <c r="Q20" s="206">
        <f t="shared" si="72"/>
        <v>60000</v>
      </c>
      <c r="R20" s="207">
        <f t="shared" si="73"/>
        <v>57200</v>
      </c>
      <c r="S20" s="198">
        <f t="shared" si="17"/>
        <v>3.7</v>
      </c>
      <c r="T20" s="198">
        <f t="shared" si="2"/>
        <v>2.5</v>
      </c>
      <c r="U20" s="198">
        <f t="shared" si="2"/>
        <v>1.6509433962264153</v>
      </c>
      <c r="V20" s="198">
        <f t="shared" si="2"/>
        <v>3.0187573270808912</v>
      </c>
      <c r="W20" s="198">
        <f t="shared" si="2"/>
        <v>4.6893317702227435</v>
      </c>
      <c r="X20" s="198">
        <f t="shared" si="2"/>
        <v>16</v>
      </c>
      <c r="Y20" s="198">
        <f t="shared" si="2"/>
        <v>10.3</v>
      </c>
      <c r="Z20" s="198">
        <f t="shared" si="2"/>
        <v>0.1</v>
      </c>
      <c r="AA20" s="198">
        <f t="shared" si="18"/>
        <v>57200</v>
      </c>
      <c r="AB20" s="198">
        <f t="shared" si="18"/>
        <v>57200</v>
      </c>
      <c r="AC20" s="198">
        <f t="shared" si="19"/>
        <v>-18</v>
      </c>
      <c r="AD20" s="198">
        <f t="shared" si="20"/>
        <v>0.24</v>
      </c>
      <c r="AE20" s="216">
        <f t="shared" si="71"/>
        <v>0.45454545454545453</v>
      </c>
      <c r="AF20" s="218">
        <f t="shared" si="74"/>
        <v>60000</v>
      </c>
      <c r="AG20" s="219">
        <f t="shared" si="75"/>
        <v>57200</v>
      </c>
      <c r="AH20" s="221">
        <f t="shared" si="76"/>
        <v>1.6818181818181819</v>
      </c>
      <c r="AI20" s="221">
        <f t="shared" si="77"/>
        <v>1.1363636363636362</v>
      </c>
      <c r="AJ20" s="221">
        <f t="shared" si="78"/>
        <v>0.75042881646655235</v>
      </c>
      <c r="AK20" s="221">
        <f t="shared" si="79"/>
        <v>1.3721624214004051</v>
      </c>
      <c r="AL20" s="221">
        <f t="shared" si="80"/>
        <v>2.1315144410103377</v>
      </c>
      <c r="AM20" s="221">
        <f t="shared" si="81"/>
        <v>7.2727272727272725</v>
      </c>
      <c r="AN20" s="221">
        <f t="shared" si="82"/>
        <v>4.6818181818181817</v>
      </c>
      <c r="AO20" s="221">
        <f t="shared" si="83"/>
        <v>4.5454545454545456E-2</v>
      </c>
      <c r="AP20" s="220">
        <f t="shared" si="84"/>
        <v>57200</v>
      </c>
      <c r="AQ20" s="220">
        <f t="shared" si="85"/>
        <v>57200</v>
      </c>
      <c r="AR20" s="198">
        <f t="shared" si="86"/>
        <v>-8.1818181818181817</v>
      </c>
      <c r="AS20" s="198">
        <f t="shared" si="87"/>
        <v>0.10909090909090909</v>
      </c>
    </row>
    <row r="21" spans="1:45">
      <c r="A21" s="240"/>
      <c r="B21" s="242" t="str">
        <f>data!A54</f>
        <v>MXZ-4C36NAHZ (Non-Ducted)</v>
      </c>
      <c r="C21" s="203">
        <f>data!B54</f>
        <v>36000</v>
      </c>
      <c r="D21" s="203">
        <f>data!C54</f>
        <v>45000</v>
      </c>
      <c r="E21" s="204">
        <f>data!D54</f>
        <v>3.95</v>
      </c>
      <c r="F21" s="204">
        <f>data!E54</f>
        <v>2.85</v>
      </c>
      <c r="G21" s="204">
        <f>data!F54</f>
        <v>2.41</v>
      </c>
      <c r="H21" s="204">
        <f>data!G54</f>
        <v>4.1031652989449006</v>
      </c>
      <c r="I21" s="204">
        <f>data!H54</f>
        <v>5.5978898007033999</v>
      </c>
      <c r="J21" s="204">
        <f>data!I54</f>
        <v>19.100000000000001</v>
      </c>
      <c r="K21" s="204">
        <f>data!J54</f>
        <v>14</v>
      </c>
      <c r="L21" s="197">
        <f>data!K54</f>
        <v>0.05</v>
      </c>
      <c r="M21" s="203">
        <f>data!L54</f>
        <v>45000</v>
      </c>
      <c r="N21" s="203">
        <f>data!M54</f>
        <v>45000</v>
      </c>
      <c r="O21" s="205">
        <f>data!P54</f>
        <v>-23</v>
      </c>
      <c r="P21" s="205">
        <f>data!Q54</f>
        <v>0.15</v>
      </c>
      <c r="Q21" s="206">
        <f t="shared" si="72"/>
        <v>0</v>
      </c>
      <c r="R21" s="207">
        <f t="shared" si="73"/>
        <v>0</v>
      </c>
      <c r="S21" s="198">
        <f t="shared" si="17"/>
        <v>0</v>
      </c>
      <c r="T21" s="198">
        <f t="shared" si="2"/>
        <v>0</v>
      </c>
      <c r="U21" s="198">
        <f t="shared" si="2"/>
        <v>0</v>
      </c>
      <c r="V21" s="198">
        <f t="shared" si="2"/>
        <v>0</v>
      </c>
      <c r="W21" s="198">
        <f t="shared" si="2"/>
        <v>0</v>
      </c>
      <c r="X21" s="198">
        <f t="shared" si="2"/>
        <v>0</v>
      </c>
      <c r="Y21" s="198">
        <f t="shared" si="2"/>
        <v>0</v>
      </c>
      <c r="Z21" s="198">
        <f t="shared" si="2"/>
        <v>0</v>
      </c>
      <c r="AA21" s="198">
        <f t="shared" si="18"/>
        <v>0</v>
      </c>
      <c r="AB21" s="198">
        <f t="shared" si="18"/>
        <v>0</v>
      </c>
      <c r="AC21" s="198">
        <f t="shared" si="19"/>
        <v>0</v>
      </c>
      <c r="AD21" s="198">
        <f t="shared" si="20"/>
        <v>0</v>
      </c>
      <c r="AE21" s="216">
        <f t="shared" si="71"/>
        <v>0</v>
      </c>
      <c r="AF21" s="218">
        <f t="shared" si="74"/>
        <v>0</v>
      </c>
      <c r="AG21" s="219">
        <f t="shared" si="75"/>
        <v>0</v>
      </c>
      <c r="AH21" s="221">
        <f t="shared" si="76"/>
        <v>0</v>
      </c>
      <c r="AI21" s="221">
        <f t="shared" si="77"/>
        <v>0</v>
      </c>
      <c r="AJ21" s="221">
        <f t="shared" si="78"/>
        <v>0</v>
      </c>
      <c r="AK21" s="221">
        <f t="shared" si="79"/>
        <v>0</v>
      </c>
      <c r="AL21" s="221">
        <f t="shared" si="80"/>
        <v>0</v>
      </c>
      <c r="AM21" s="221">
        <f t="shared" si="81"/>
        <v>0</v>
      </c>
      <c r="AN21" s="221">
        <f t="shared" si="82"/>
        <v>0</v>
      </c>
      <c r="AO21" s="221">
        <f t="shared" si="83"/>
        <v>0</v>
      </c>
      <c r="AP21" s="220">
        <f t="shared" si="84"/>
        <v>0</v>
      </c>
      <c r="AQ21" s="220">
        <f t="shared" si="85"/>
        <v>0</v>
      </c>
      <c r="AR21" s="198">
        <f t="shared" si="86"/>
        <v>0</v>
      </c>
      <c r="AS21" s="198">
        <f t="shared" si="87"/>
        <v>0</v>
      </c>
    </row>
    <row r="22" spans="1:45">
      <c r="A22" s="240"/>
      <c r="B22" s="242" t="str">
        <f>data!A55</f>
        <v>MXZ-4C36NAHZ (Mixed)</v>
      </c>
      <c r="C22" s="203">
        <f>data!B55</f>
        <v>36000</v>
      </c>
      <c r="D22" s="203">
        <f>data!C55</f>
        <v>45000</v>
      </c>
      <c r="E22" s="204">
        <f>data!D55</f>
        <v>3.5250000000000004</v>
      </c>
      <c r="F22" s="204">
        <f>data!E55</f>
        <v>2.5750000000000002</v>
      </c>
      <c r="G22" s="204">
        <f>data!F55</f>
        <v>2.1550000000000002</v>
      </c>
      <c r="H22" s="204">
        <f>data!G55</f>
        <v>3.7075029308323564</v>
      </c>
      <c r="I22" s="204">
        <f>data!H55</f>
        <v>5.1143024618991806</v>
      </c>
      <c r="J22" s="204">
        <f>data!I55</f>
        <v>17.450000000000003</v>
      </c>
      <c r="K22" s="204">
        <f>data!J55</f>
        <v>12.65</v>
      </c>
      <c r="L22" s="197">
        <f>data!K55</f>
        <v>7.5000000000000011E-2</v>
      </c>
      <c r="M22" s="203">
        <f>data!L55</f>
        <v>45000</v>
      </c>
      <c r="N22" s="203">
        <f>data!M55</f>
        <v>45000</v>
      </c>
      <c r="O22" s="205">
        <f>data!P55</f>
        <v>-23</v>
      </c>
      <c r="P22" s="205">
        <f>data!Q55</f>
        <v>0.15</v>
      </c>
      <c r="Q22" s="206">
        <f t="shared" si="72"/>
        <v>0</v>
      </c>
      <c r="R22" s="207">
        <f t="shared" si="73"/>
        <v>0</v>
      </c>
      <c r="S22" s="198">
        <f t="shared" si="17"/>
        <v>0</v>
      </c>
      <c r="T22" s="198">
        <f t="shared" si="2"/>
        <v>0</v>
      </c>
      <c r="U22" s="198">
        <f t="shared" si="2"/>
        <v>0</v>
      </c>
      <c r="V22" s="198">
        <f t="shared" si="2"/>
        <v>0</v>
      </c>
      <c r="W22" s="198">
        <f t="shared" si="2"/>
        <v>0</v>
      </c>
      <c r="X22" s="198">
        <f t="shared" si="2"/>
        <v>0</v>
      </c>
      <c r="Y22" s="198">
        <f t="shared" si="2"/>
        <v>0</v>
      </c>
      <c r="Z22" s="198">
        <f t="shared" si="2"/>
        <v>0</v>
      </c>
      <c r="AA22" s="198">
        <f t="shared" si="18"/>
        <v>0</v>
      </c>
      <c r="AB22" s="198">
        <f t="shared" si="18"/>
        <v>0</v>
      </c>
      <c r="AC22" s="198">
        <f t="shared" si="19"/>
        <v>0</v>
      </c>
      <c r="AD22" s="198">
        <f t="shared" si="20"/>
        <v>0</v>
      </c>
      <c r="AE22" s="216">
        <f t="shared" si="71"/>
        <v>0</v>
      </c>
      <c r="AF22" s="218">
        <f t="shared" si="74"/>
        <v>0</v>
      </c>
      <c r="AG22" s="219">
        <f t="shared" si="75"/>
        <v>0</v>
      </c>
      <c r="AH22" s="221">
        <f t="shared" si="76"/>
        <v>0</v>
      </c>
      <c r="AI22" s="221">
        <f t="shared" si="77"/>
        <v>0</v>
      </c>
      <c r="AJ22" s="221">
        <f t="shared" si="78"/>
        <v>0</v>
      </c>
      <c r="AK22" s="221">
        <f t="shared" si="79"/>
        <v>0</v>
      </c>
      <c r="AL22" s="221">
        <f t="shared" si="80"/>
        <v>0</v>
      </c>
      <c r="AM22" s="221">
        <f t="shared" si="81"/>
        <v>0</v>
      </c>
      <c r="AN22" s="221">
        <f t="shared" si="82"/>
        <v>0</v>
      </c>
      <c r="AO22" s="221">
        <f t="shared" si="83"/>
        <v>0</v>
      </c>
      <c r="AP22" s="220">
        <f t="shared" si="84"/>
        <v>0</v>
      </c>
      <c r="AQ22" s="220">
        <f t="shared" si="85"/>
        <v>0</v>
      </c>
      <c r="AR22" s="198">
        <f t="shared" si="86"/>
        <v>0</v>
      </c>
      <c r="AS22" s="198">
        <f t="shared" si="87"/>
        <v>0</v>
      </c>
    </row>
    <row r="23" spans="1:45">
      <c r="A23" s="240">
        <v>2</v>
      </c>
      <c r="B23" s="242" t="str">
        <f>data!A56</f>
        <v>MXZ-4C36NAHZ (Ducted)</v>
      </c>
      <c r="C23" s="203">
        <f>data!B56</f>
        <v>36000</v>
      </c>
      <c r="D23" s="203">
        <f>data!C56</f>
        <v>45000</v>
      </c>
      <c r="E23" s="204">
        <f>data!D56</f>
        <v>3.1</v>
      </c>
      <c r="F23" s="204">
        <f>data!E56</f>
        <v>2.2999999999999998</v>
      </c>
      <c r="G23" s="204">
        <f>data!F56</f>
        <v>1.9</v>
      </c>
      <c r="H23" s="204">
        <f>data!G56</f>
        <v>3.3118405627198126</v>
      </c>
      <c r="I23" s="204">
        <f>data!H56</f>
        <v>4.6307151230949595</v>
      </c>
      <c r="J23" s="204">
        <f>data!I56</f>
        <v>15.8</v>
      </c>
      <c r="K23" s="204">
        <f>data!J56</f>
        <v>11.3</v>
      </c>
      <c r="L23" s="197">
        <f>data!K56</f>
        <v>0.1</v>
      </c>
      <c r="M23" s="203">
        <f>data!L56</f>
        <v>45000</v>
      </c>
      <c r="N23" s="203">
        <f>data!M56</f>
        <v>45000</v>
      </c>
      <c r="O23" s="205">
        <f>data!P56</f>
        <v>-23</v>
      </c>
      <c r="P23" s="205">
        <f>data!Q56</f>
        <v>0.15</v>
      </c>
      <c r="Q23" s="206">
        <f t="shared" si="72"/>
        <v>72000</v>
      </c>
      <c r="R23" s="207">
        <f t="shared" si="73"/>
        <v>90000</v>
      </c>
      <c r="S23" s="198">
        <f t="shared" si="17"/>
        <v>3.1</v>
      </c>
      <c r="T23" s="198">
        <f t="shared" ref="T23:T32" si="88">IF($A23=0,0,$A23*F23/$A23)</f>
        <v>2.2999999999999998</v>
      </c>
      <c r="U23" s="198">
        <f t="shared" ref="U23:U32" si="89">IF($A23=0,0,$A23*G23/$A23)</f>
        <v>1.9</v>
      </c>
      <c r="V23" s="198">
        <f t="shared" ref="V23:V32" si="90">IF($A23=0,0,$A23*H23/$A23)</f>
        <v>3.3118405627198126</v>
      </c>
      <c r="W23" s="198">
        <f t="shared" ref="W23:W32" si="91">IF($A23=0,0,$A23*I23/$A23)</f>
        <v>4.6307151230949595</v>
      </c>
      <c r="X23" s="198">
        <f t="shared" ref="X23:X32" si="92">IF($A23=0,0,$A23*J23/$A23)</f>
        <v>15.8</v>
      </c>
      <c r="Y23" s="198">
        <f t="shared" ref="Y23:Y32" si="93">IF($A23=0,0,$A23*K23/$A23)</f>
        <v>11.3</v>
      </c>
      <c r="Z23" s="198">
        <f t="shared" ref="Z23:Z32" si="94">IF($A23=0,0,$A23*L23/$A23)</f>
        <v>0.1</v>
      </c>
      <c r="AA23" s="198">
        <f t="shared" si="18"/>
        <v>90000</v>
      </c>
      <c r="AB23" s="198">
        <f t="shared" si="18"/>
        <v>90000</v>
      </c>
      <c r="AC23" s="198">
        <f t="shared" si="19"/>
        <v>-23</v>
      </c>
      <c r="AD23" s="198">
        <f t="shared" si="20"/>
        <v>0.3</v>
      </c>
      <c r="AE23" s="216">
        <f t="shared" si="71"/>
        <v>0.54545454545454541</v>
      </c>
      <c r="AF23" s="218">
        <f t="shared" si="74"/>
        <v>72000</v>
      </c>
      <c r="AG23" s="219">
        <f t="shared" si="75"/>
        <v>90000</v>
      </c>
      <c r="AH23" s="221">
        <f t="shared" si="76"/>
        <v>1.6909090909090909</v>
      </c>
      <c r="AI23" s="221">
        <f t="shared" si="77"/>
        <v>1.2545454545454544</v>
      </c>
      <c r="AJ23" s="221">
        <f t="shared" si="78"/>
        <v>1.0363636363636362</v>
      </c>
      <c r="AK23" s="221">
        <f t="shared" si="79"/>
        <v>1.8064584887562614</v>
      </c>
      <c r="AL23" s="221">
        <f t="shared" si="80"/>
        <v>2.5258446125972505</v>
      </c>
      <c r="AM23" s="221">
        <f t="shared" si="81"/>
        <v>8.6181818181818173</v>
      </c>
      <c r="AN23" s="221">
        <f t="shared" si="82"/>
        <v>6.1636363636363631</v>
      </c>
      <c r="AO23" s="221">
        <f t="shared" si="83"/>
        <v>5.4545454545454543E-2</v>
      </c>
      <c r="AP23" s="220">
        <f t="shared" si="84"/>
        <v>90000</v>
      </c>
      <c r="AQ23" s="220">
        <f t="shared" si="85"/>
        <v>90000</v>
      </c>
      <c r="AR23" s="198">
        <f t="shared" si="86"/>
        <v>-12.545454545454545</v>
      </c>
      <c r="AS23" s="198">
        <f t="shared" si="87"/>
        <v>0.16363636363636361</v>
      </c>
    </row>
    <row r="24" spans="1:45">
      <c r="A24" s="240"/>
      <c r="B24" s="242" t="str">
        <f>data!A57</f>
        <v>MXZ-5C42NAHZ (Non-Ducted)</v>
      </c>
      <c r="C24" s="203">
        <f>data!B57</f>
        <v>42000</v>
      </c>
      <c r="D24" s="203">
        <f>data!C57</f>
        <v>48000</v>
      </c>
      <c r="E24" s="204">
        <f>data!D57</f>
        <v>4.0999999999999996</v>
      </c>
      <c r="F24" s="204">
        <f>data!E57</f>
        <v>2.85</v>
      </c>
      <c r="G24" s="204">
        <f>data!F57</f>
        <v>2.5099999999999998</v>
      </c>
      <c r="H24" s="204">
        <f>data!G57</f>
        <v>3.9273153575615476</v>
      </c>
      <c r="I24" s="204">
        <f>data!H57</f>
        <v>5.5685814771395075</v>
      </c>
      <c r="J24" s="204">
        <f>data!I57</f>
        <v>19</v>
      </c>
      <c r="K24" s="204">
        <f>data!J57</f>
        <v>13.4</v>
      </c>
      <c r="L24" s="197">
        <f>data!K57</f>
        <v>0.05</v>
      </c>
      <c r="M24" s="203">
        <f>data!L57</f>
        <v>48000</v>
      </c>
      <c r="N24" s="203">
        <f>data!M57</f>
        <v>48000</v>
      </c>
      <c r="O24" s="205">
        <f>data!P57</f>
        <v>-23</v>
      </c>
      <c r="P24" s="205">
        <f>data!Q57</f>
        <v>0.15</v>
      </c>
      <c r="Q24" s="206">
        <f t="shared" ref="Q24:Q29" si="95">A24*C24</f>
        <v>0</v>
      </c>
      <c r="R24" s="207">
        <f t="shared" ref="R24:R29" si="96">A24*D24</f>
        <v>0</v>
      </c>
      <c r="S24" s="198">
        <f t="shared" si="17"/>
        <v>0</v>
      </c>
      <c r="T24" s="198">
        <f t="shared" si="88"/>
        <v>0</v>
      </c>
      <c r="U24" s="198">
        <f t="shared" si="89"/>
        <v>0</v>
      </c>
      <c r="V24" s="198">
        <f t="shared" si="90"/>
        <v>0</v>
      </c>
      <c r="W24" s="198">
        <f t="shared" si="91"/>
        <v>0</v>
      </c>
      <c r="X24" s="198">
        <f t="shared" si="92"/>
        <v>0</v>
      </c>
      <c r="Y24" s="198">
        <f t="shared" si="93"/>
        <v>0</v>
      </c>
      <c r="Z24" s="198">
        <f t="shared" si="94"/>
        <v>0</v>
      </c>
      <c r="AA24" s="198">
        <f t="shared" si="18"/>
        <v>0</v>
      </c>
      <c r="AB24" s="198">
        <f t="shared" si="18"/>
        <v>0</v>
      </c>
      <c r="AC24" s="198">
        <f t="shared" si="19"/>
        <v>0</v>
      </c>
      <c r="AD24" s="198">
        <f t="shared" si="20"/>
        <v>0</v>
      </c>
      <c r="AE24" s="216">
        <f t="shared" si="71"/>
        <v>0</v>
      </c>
      <c r="AF24" s="218">
        <f t="shared" ref="AF24:AF29" si="97">Q24</f>
        <v>0</v>
      </c>
      <c r="AG24" s="219">
        <f t="shared" ref="AG24:AG29" si="98">R24</f>
        <v>0</v>
      </c>
      <c r="AH24" s="221">
        <f t="shared" ref="AH24:AH29" si="99">S24*$AE24</f>
        <v>0</v>
      </c>
      <c r="AI24" s="221">
        <f t="shared" ref="AI24:AI29" si="100">T24*$AE24</f>
        <v>0</v>
      </c>
      <c r="AJ24" s="221">
        <f t="shared" ref="AJ24:AJ29" si="101">U24*$AE24</f>
        <v>0</v>
      </c>
      <c r="AK24" s="221">
        <f t="shared" ref="AK24:AK29" si="102">V24*$AE24</f>
        <v>0</v>
      </c>
      <c r="AL24" s="221">
        <f t="shared" ref="AL24:AL29" si="103">W24*$AE24</f>
        <v>0</v>
      </c>
      <c r="AM24" s="221">
        <f t="shared" ref="AM24:AM29" si="104">X24*$AE24</f>
        <v>0</v>
      </c>
      <c r="AN24" s="221">
        <f t="shared" ref="AN24:AN29" si="105">Y24*$AE24</f>
        <v>0</v>
      </c>
      <c r="AO24" s="221">
        <f t="shared" ref="AO24:AO29" si="106">Z24*$AE24</f>
        <v>0</v>
      </c>
      <c r="AP24" s="220">
        <f t="shared" ref="AP24:AP29" si="107">AA24</f>
        <v>0</v>
      </c>
      <c r="AQ24" s="220">
        <f t="shared" ref="AQ24:AQ29" si="108">AB24</f>
        <v>0</v>
      </c>
      <c r="AR24" s="198">
        <f t="shared" ref="AR24:AR29" si="109">AC24*$AE24</f>
        <v>0</v>
      </c>
      <c r="AS24" s="198">
        <f t="shared" ref="AS24:AS29" si="110">AD24*$AE24</f>
        <v>0</v>
      </c>
    </row>
    <row r="25" spans="1:45">
      <c r="A25" s="240"/>
      <c r="B25" s="242" t="str">
        <f>data!A58</f>
        <v>MXZ-5C42NAHZ (Mixed)</v>
      </c>
      <c r="C25" s="203">
        <f>data!B58</f>
        <v>42000</v>
      </c>
      <c r="D25" s="203">
        <f>data!C58</f>
        <v>48000</v>
      </c>
      <c r="E25" s="204">
        <f>data!D58</f>
        <v>3.665</v>
      </c>
      <c r="F25" s="204">
        <f>data!E58</f>
        <v>2.6749999999999998</v>
      </c>
      <c r="G25" s="204">
        <f>data!F58</f>
        <v>2.2450000000000001</v>
      </c>
      <c r="H25" s="204">
        <f>data!G58</f>
        <v>3.5463071512309501</v>
      </c>
      <c r="I25" s="204">
        <f>data!H58</f>
        <v>4.9824150058616645</v>
      </c>
      <c r="J25" s="204">
        <f>data!I58</f>
        <v>17</v>
      </c>
      <c r="K25" s="204">
        <f>data!J58</f>
        <v>12.100000000000001</v>
      </c>
      <c r="L25" s="197">
        <f>data!K58</f>
        <v>7.5000000000000011E-2</v>
      </c>
      <c r="M25" s="203">
        <f>data!L58</f>
        <v>48000</v>
      </c>
      <c r="N25" s="203">
        <f>data!M58</f>
        <v>48000</v>
      </c>
      <c r="O25" s="205">
        <f>data!P58</f>
        <v>-23</v>
      </c>
      <c r="P25" s="205">
        <f>data!Q58</f>
        <v>0.15</v>
      </c>
      <c r="Q25" s="206">
        <f t="shared" si="95"/>
        <v>0</v>
      </c>
      <c r="R25" s="207">
        <f t="shared" si="96"/>
        <v>0</v>
      </c>
      <c r="S25" s="198">
        <f t="shared" si="17"/>
        <v>0</v>
      </c>
      <c r="T25" s="198">
        <f t="shared" si="88"/>
        <v>0</v>
      </c>
      <c r="U25" s="198">
        <f t="shared" si="89"/>
        <v>0</v>
      </c>
      <c r="V25" s="198">
        <f t="shared" si="90"/>
        <v>0</v>
      </c>
      <c r="W25" s="198">
        <f t="shared" si="91"/>
        <v>0</v>
      </c>
      <c r="X25" s="198">
        <f t="shared" si="92"/>
        <v>0</v>
      </c>
      <c r="Y25" s="198">
        <f t="shared" si="93"/>
        <v>0</v>
      </c>
      <c r="Z25" s="198">
        <f t="shared" si="94"/>
        <v>0</v>
      </c>
      <c r="AA25" s="198">
        <f t="shared" si="18"/>
        <v>0</v>
      </c>
      <c r="AB25" s="198">
        <f t="shared" si="18"/>
        <v>0</v>
      </c>
      <c r="AC25" s="198">
        <f t="shared" si="19"/>
        <v>0</v>
      </c>
      <c r="AD25" s="198">
        <f t="shared" si="20"/>
        <v>0</v>
      </c>
      <c r="AE25" s="216">
        <f t="shared" si="71"/>
        <v>0</v>
      </c>
      <c r="AF25" s="218">
        <f t="shared" si="97"/>
        <v>0</v>
      </c>
      <c r="AG25" s="219">
        <f t="shared" si="98"/>
        <v>0</v>
      </c>
      <c r="AH25" s="221">
        <f t="shared" si="99"/>
        <v>0</v>
      </c>
      <c r="AI25" s="221">
        <f t="shared" si="100"/>
        <v>0</v>
      </c>
      <c r="AJ25" s="221">
        <f t="shared" si="101"/>
        <v>0</v>
      </c>
      <c r="AK25" s="221">
        <f t="shared" si="102"/>
        <v>0</v>
      </c>
      <c r="AL25" s="221">
        <f t="shared" si="103"/>
        <v>0</v>
      </c>
      <c r="AM25" s="221">
        <f t="shared" si="104"/>
        <v>0</v>
      </c>
      <c r="AN25" s="221">
        <f t="shared" si="105"/>
        <v>0</v>
      </c>
      <c r="AO25" s="221">
        <f t="shared" si="106"/>
        <v>0</v>
      </c>
      <c r="AP25" s="220">
        <f t="shared" si="107"/>
        <v>0</v>
      </c>
      <c r="AQ25" s="220">
        <f t="shared" si="108"/>
        <v>0</v>
      </c>
      <c r="AR25" s="198">
        <f t="shared" si="109"/>
        <v>0</v>
      </c>
      <c r="AS25" s="198">
        <f t="shared" si="110"/>
        <v>0</v>
      </c>
    </row>
    <row r="26" spans="1:45">
      <c r="A26" s="240"/>
      <c r="B26" s="242" t="str">
        <f>data!A59</f>
        <v>MXZ-5C42NAHZ (Ducted)</v>
      </c>
      <c r="C26" s="203">
        <f>data!B59</f>
        <v>42000</v>
      </c>
      <c r="D26" s="203">
        <f>data!C59</f>
        <v>48000</v>
      </c>
      <c r="E26" s="204">
        <f>data!D59</f>
        <v>3.23</v>
      </c>
      <c r="F26" s="204">
        <f>data!E59</f>
        <v>2.5</v>
      </c>
      <c r="G26" s="204">
        <f>data!F59</f>
        <v>1.98</v>
      </c>
      <c r="H26" s="204">
        <f>data!G59</f>
        <v>3.1652989449003521</v>
      </c>
      <c r="I26" s="204">
        <f>data!H59</f>
        <v>4.3962485345838216</v>
      </c>
      <c r="J26" s="204">
        <f>data!I59</f>
        <v>15</v>
      </c>
      <c r="K26" s="204">
        <f>data!J59</f>
        <v>10.8</v>
      </c>
      <c r="L26" s="197">
        <f>data!K59</f>
        <v>0.1</v>
      </c>
      <c r="M26" s="203">
        <f>data!L59</f>
        <v>48000</v>
      </c>
      <c r="N26" s="203">
        <f>data!M59</f>
        <v>48000</v>
      </c>
      <c r="O26" s="205">
        <f>data!P59</f>
        <v>-23</v>
      </c>
      <c r="P26" s="205">
        <f>data!Q59</f>
        <v>0.15</v>
      </c>
      <c r="Q26" s="206">
        <f t="shared" si="95"/>
        <v>0</v>
      </c>
      <c r="R26" s="207">
        <f t="shared" si="96"/>
        <v>0</v>
      </c>
      <c r="S26" s="198">
        <f t="shared" si="17"/>
        <v>0</v>
      </c>
      <c r="T26" s="198">
        <f t="shared" si="88"/>
        <v>0</v>
      </c>
      <c r="U26" s="198">
        <f t="shared" si="89"/>
        <v>0</v>
      </c>
      <c r="V26" s="198">
        <f t="shared" si="90"/>
        <v>0</v>
      </c>
      <c r="W26" s="198">
        <f t="shared" si="91"/>
        <v>0</v>
      </c>
      <c r="X26" s="198">
        <f t="shared" si="92"/>
        <v>0</v>
      </c>
      <c r="Y26" s="198">
        <f t="shared" si="93"/>
        <v>0</v>
      </c>
      <c r="Z26" s="198">
        <f t="shared" si="94"/>
        <v>0</v>
      </c>
      <c r="AA26" s="198">
        <f t="shared" si="18"/>
        <v>0</v>
      </c>
      <c r="AB26" s="198">
        <f t="shared" si="18"/>
        <v>0</v>
      </c>
      <c r="AC26" s="198">
        <f t="shared" si="19"/>
        <v>0</v>
      </c>
      <c r="AD26" s="198">
        <f t="shared" si="20"/>
        <v>0</v>
      </c>
      <c r="AE26" s="216">
        <f t="shared" si="71"/>
        <v>0</v>
      </c>
      <c r="AF26" s="218">
        <f t="shared" si="97"/>
        <v>0</v>
      </c>
      <c r="AG26" s="219">
        <f t="shared" si="98"/>
        <v>0</v>
      </c>
      <c r="AH26" s="221">
        <f t="shared" si="99"/>
        <v>0</v>
      </c>
      <c r="AI26" s="221">
        <f t="shared" si="100"/>
        <v>0</v>
      </c>
      <c r="AJ26" s="221">
        <f t="shared" si="101"/>
        <v>0</v>
      </c>
      <c r="AK26" s="221">
        <f t="shared" si="102"/>
        <v>0</v>
      </c>
      <c r="AL26" s="221">
        <f t="shared" si="103"/>
        <v>0</v>
      </c>
      <c r="AM26" s="221">
        <f t="shared" si="104"/>
        <v>0</v>
      </c>
      <c r="AN26" s="221">
        <f t="shared" si="105"/>
        <v>0</v>
      </c>
      <c r="AO26" s="221">
        <f t="shared" si="106"/>
        <v>0</v>
      </c>
      <c r="AP26" s="220">
        <f t="shared" si="107"/>
        <v>0</v>
      </c>
      <c r="AQ26" s="220">
        <f t="shared" si="108"/>
        <v>0</v>
      </c>
      <c r="AR26" s="198">
        <f t="shared" si="109"/>
        <v>0</v>
      </c>
      <c r="AS26" s="198">
        <f t="shared" si="110"/>
        <v>0</v>
      </c>
    </row>
    <row r="27" spans="1:45">
      <c r="A27" s="240"/>
      <c r="B27" s="242" t="str">
        <f>data!A60</f>
        <v>MXZ-8C48NAHZ (Non-Ducted)</v>
      </c>
      <c r="C27" s="203">
        <f>data!B60</f>
        <v>48000</v>
      </c>
      <c r="D27" s="203">
        <f>data!C60</f>
        <v>54000</v>
      </c>
      <c r="E27" s="204">
        <f>data!D60</f>
        <v>3.75</v>
      </c>
      <c r="F27" s="204">
        <f>data!E60</f>
        <v>2.7</v>
      </c>
      <c r="G27" s="204">
        <f>data!F60</f>
        <v>2.29</v>
      </c>
      <c r="H27" s="204">
        <f>data!G60</f>
        <v>3.5169988276670576</v>
      </c>
      <c r="I27" s="204">
        <f>data!H60</f>
        <v>5.539273153575615</v>
      </c>
      <c r="J27" s="204">
        <f>data!I60</f>
        <v>18.899999999999999</v>
      </c>
      <c r="K27" s="204">
        <f>data!J60</f>
        <v>12</v>
      </c>
      <c r="L27" s="197">
        <f>data!K60</f>
        <v>0.05</v>
      </c>
      <c r="M27" s="203">
        <f>data!L60</f>
        <v>54000</v>
      </c>
      <c r="N27" s="203">
        <f>data!M60</f>
        <v>54000</v>
      </c>
      <c r="O27" s="205">
        <f>data!P60</f>
        <v>-23</v>
      </c>
      <c r="P27" s="205">
        <f>data!Q60</f>
        <v>0.15</v>
      </c>
      <c r="Q27" s="206">
        <f t="shared" si="95"/>
        <v>0</v>
      </c>
      <c r="R27" s="207">
        <f t="shared" si="96"/>
        <v>0</v>
      </c>
      <c r="S27" s="198">
        <f t="shared" si="17"/>
        <v>0</v>
      </c>
      <c r="T27" s="198">
        <f t="shared" si="88"/>
        <v>0</v>
      </c>
      <c r="U27" s="198">
        <f t="shared" si="89"/>
        <v>0</v>
      </c>
      <c r="V27" s="198">
        <f t="shared" si="90"/>
        <v>0</v>
      </c>
      <c r="W27" s="198">
        <f t="shared" si="91"/>
        <v>0</v>
      </c>
      <c r="X27" s="198">
        <f t="shared" si="92"/>
        <v>0</v>
      </c>
      <c r="Y27" s="198">
        <f t="shared" si="93"/>
        <v>0</v>
      </c>
      <c r="Z27" s="198">
        <f t="shared" si="94"/>
        <v>0</v>
      </c>
      <c r="AA27" s="198">
        <f t="shared" si="18"/>
        <v>0</v>
      </c>
      <c r="AB27" s="198">
        <f t="shared" si="18"/>
        <v>0</v>
      </c>
      <c r="AC27" s="198">
        <f t="shared" si="19"/>
        <v>0</v>
      </c>
      <c r="AD27" s="198">
        <f t="shared" si="20"/>
        <v>0</v>
      </c>
      <c r="AE27" s="216">
        <f t="shared" si="71"/>
        <v>0</v>
      </c>
      <c r="AF27" s="218">
        <f t="shared" si="97"/>
        <v>0</v>
      </c>
      <c r="AG27" s="219">
        <f t="shared" si="98"/>
        <v>0</v>
      </c>
      <c r="AH27" s="221">
        <f t="shared" si="99"/>
        <v>0</v>
      </c>
      <c r="AI27" s="221">
        <f t="shared" si="100"/>
        <v>0</v>
      </c>
      <c r="AJ27" s="221">
        <f t="shared" si="101"/>
        <v>0</v>
      </c>
      <c r="AK27" s="221">
        <f t="shared" si="102"/>
        <v>0</v>
      </c>
      <c r="AL27" s="221">
        <f t="shared" si="103"/>
        <v>0</v>
      </c>
      <c r="AM27" s="221">
        <f t="shared" si="104"/>
        <v>0</v>
      </c>
      <c r="AN27" s="221">
        <f t="shared" si="105"/>
        <v>0</v>
      </c>
      <c r="AO27" s="221">
        <f t="shared" si="106"/>
        <v>0</v>
      </c>
      <c r="AP27" s="220">
        <f t="shared" si="107"/>
        <v>0</v>
      </c>
      <c r="AQ27" s="220">
        <f t="shared" si="108"/>
        <v>0</v>
      </c>
      <c r="AR27" s="198">
        <f t="shared" si="109"/>
        <v>0</v>
      </c>
      <c r="AS27" s="198">
        <f t="shared" si="110"/>
        <v>0</v>
      </c>
    </row>
    <row r="28" spans="1:45">
      <c r="A28" s="240"/>
      <c r="B28" s="242" t="str">
        <f>data!A61</f>
        <v>MXZ-8C48NAHZ (Mixed)</v>
      </c>
      <c r="C28" s="203">
        <f>data!B61</f>
        <v>48000</v>
      </c>
      <c r="D28" s="203">
        <f>data!C61</f>
        <v>54000</v>
      </c>
      <c r="E28" s="204">
        <f>data!D61</f>
        <v>3.46</v>
      </c>
      <c r="F28" s="204">
        <f>data!E61</f>
        <v>2.5499999999999998</v>
      </c>
      <c r="G28" s="204">
        <f>data!F61</f>
        <v>2.1627777777777775</v>
      </c>
      <c r="H28" s="204">
        <f>data!G61</f>
        <v>3.1506447831184059</v>
      </c>
      <c r="I28" s="204">
        <f>data!H61</f>
        <v>4.9237983587338796</v>
      </c>
      <c r="J28" s="204">
        <f>data!I61</f>
        <v>16.799999999999997</v>
      </c>
      <c r="K28" s="204">
        <f>data!J61</f>
        <v>10.75</v>
      </c>
      <c r="L28" s="197">
        <f>data!K61</f>
        <v>7.5000000000000011E-2</v>
      </c>
      <c r="M28" s="203">
        <f>data!L61</f>
        <v>54000</v>
      </c>
      <c r="N28" s="203">
        <f>data!M61</f>
        <v>54000</v>
      </c>
      <c r="O28" s="205">
        <f>data!P61</f>
        <v>-23</v>
      </c>
      <c r="P28" s="205">
        <f>data!Q61</f>
        <v>0.15</v>
      </c>
      <c r="Q28" s="206">
        <f t="shared" si="95"/>
        <v>0</v>
      </c>
      <c r="R28" s="207">
        <f t="shared" si="96"/>
        <v>0</v>
      </c>
      <c r="S28" s="198">
        <f t="shared" si="17"/>
        <v>0</v>
      </c>
      <c r="T28" s="198">
        <f t="shared" si="88"/>
        <v>0</v>
      </c>
      <c r="U28" s="198">
        <f t="shared" si="89"/>
        <v>0</v>
      </c>
      <c r="V28" s="198">
        <f t="shared" si="90"/>
        <v>0</v>
      </c>
      <c r="W28" s="198">
        <f t="shared" si="91"/>
        <v>0</v>
      </c>
      <c r="X28" s="198">
        <f t="shared" si="92"/>
        <v>0</v>
      </c>
      <c r="Y28" s="198">
        <f t="shared" si="93"/>
        <v>0</v>
      </c>
      <c r="Z28" s="198">
        <f t="shared" si="94"/>
        <v>0</v>
      </c>
      <c r="AA28" s="198">
        <f t="shared" si="18"/>
        <v>0</v>
      </c>
      <c r="AB28" s="198">
        <f t="shared" si="18"/>
        <v>0</v>
      </c>
      <c r="AC28" s="198">
        <f t="shared" si="19"/>
        <v>0</v>
      </c>
      <c r="AD28" s="198">
        <f t="shared" si="20"/>
        <v>0</v>
      </c>
      <c r="AE28" s="216">
        <f t="shared" si="71"/>
        <v>0</v>
      </c>
      <c r="AF28" s="218">
        <f t="shared" si="97"/>
        <v>0</v>
      </c>
      <c r="AG28" s="219">
        <f t="shared" si="98"/>
        <v>0</v>
      </c>
      <c r="AH28" s="221">
        <f t="shared" si="99"/>
        <v>0</v>
      </c>
      <c r="AI28" s="221">
        <f t="shared" si="100"/>
        <v>0</v>
      </c>
      <c r="AJ28" s="221">
        <f t="shared" si="101"/>
        <v>0</v>
      </c>
      <c r="AK28" s="221">
        <f t="shared" si="102"/>
        <v>0</v>
      </c>
      <c r="AL28" s="221">
        <f t="shared" si="103"/>
        <v>0</v>
      </c>
      <c r="AM28" s="221">
        <f t="shared" si="104"/>
        <v>0</v>
      </c>
      <c r="AN28" s="221">
        <f t="shared" si="105"/>
        <v>0</v>
      </c>
      <c r="AO28" s="221">
        <f t="shared" si="106"/>
        <v>0</v>
      </c>
      <c r="AP28" s="220">
        <f t="shared" si="107"/>
        <v>0</v>
      </c>
      <c r="AQ28" s="220">
        <f t="shared" si="108"/>
        <v>0</v>
      </c>
      <c r="AR28" s="198">
        <f t="shared" si="109"/>
        <v>0</v>
      </c>
      <c r="AS28" s="198">
        <f t="shared" si="110"/>
        <v>0</v>
      </c>
    </row>
    <row r="29" spans="1:45">
      <c r="A29" s="240"/>
      <c r="B29" s="242" t="str">
        <f>data!A62</f>
        <v>MXZ-8C48NAHZ (Ducted)</v>
      </c>
      <c r="C29" s="203">
        <f>data!B62</f>
        <v>48000</v>
      </c>
      <c r="D29" s="203">
        <f>data!C62</f>
        <v>54000</v>
      </c>
      <c r="E29" s="204">
        <f>data!D62</f>
        <v>3.17</v>
      </c>
      <c r="F29" s="204">
        <f>data!E62</f>
        <v>2.4</v>
      </c>
      <c r="G29" s="204">
        <f>data!F62</f>
        <v>2.0355555555555553</v>
      </c>
      <c r="H29" s="204">
        <f>data!G62</f>
        <v>2.7842907385697537</v>
      </c>
      <c r="I29" s="204">
        <f>data!H62</f>
        <v>4.3083235638921451</v>
      </c>
      <c r="J29" s="204">
        <f>data!I62</f>
        <v>14.7</v>
      </c>
      <c r="K29" s="204">
        <f>data!J62</f>
        <v>9.5</v>
      </c>
      <c r="L29" s="197">
        <f>data!K62</f>
        <v>0.1</v>
      </c>
      <c r="M29" s="203">
        <f>data!L62</f>
        <v>54000</v>
      </c>
      <c r="N29" s="203">
        <f>data!M62</f>
        <v>54000</v>
      </c>
      <c r="O29" s="205">
        <f>data!P62</f>
        <v>-23</v>
      </c>
      <c r="P29" s="205">
        <f>data!Q62</f>
        <v>0.15</v>
      </c>
      <c r="Q29" s="206">
        <f t="shared" si="95"/>
        <v>0</v>
      </c>
      <c r="R29" s="207">
        <f t="shared" si="96"/>
        <v>0</v>
      </c>
      <c r="S29" s="198">
        <f t="shared" si="17"/>
        <v>0</v>
      </c>
      <c r="T29" s="198">
        <f t="shared" si="88"/>
        <v>0</v>
      </c>
      <c r="U29" s="198">
        <f t="shared" si="89"/>
        <v>0</v>
      </c>
      <c r="V29" s="198">
        <f t="shared" si="90"/>
        <v>0</v>
      </c>
      <c r="W29" s="198">
        <f t="shared" si="91"/>
        <v>0</v>
      </c>
      <c r="X29" s="198">
        <f t="shared" si="92"/>
        <v>0</v>
      </c>
      <c r="Y29" s="198">
        <f t="shared" si="93"/>
        <v>0</v>
      </c>
      <c r="Z29" s="198">
        <f t="shared" si="94"/>
        <v>0</v>
      </c>
      <c r="AA29" s="198">
        <f t="shared" si="18"/>
        <v>0</v>
      </c>
      <c r="AB29" s="198">
        <f t="shared" si="18"/>
        <v>0</v>
      </c>
      <c r="AC29" s="198">
        <f t="shared" si="19"/>
        <v>0</v>
      </c>
      <c r="AD29" s="198">
        <f t="shared" si="20"/>
        <v>0</v>
      </c>
      <c r="AE29" s="216">
        <f t="shared" si="71"/>
        <v>0</v>
      </c>
      <c r="AF29" s="218">
        <f t="shared" si="97"/>
        <v>0</v>
      </c>
      <c r="AG29" s="219">
        <f t="shared" si="98"/>
        <v>0</v>
      </c>
      <c r="AH29" s="221">
        <f t="shared" si="99"/>
        <v>0</v>
      </c>
      <c r="AI29" s="221">
        <f t="shared" si="100"/>
        <v>0</v>
      </c>
      <c r="AJ29" s="221">
        <f t="shared" si="101"/>
        <v>0</v>
      </c>
      <c r="AK29" s="221">
        <f t="shared" si="102"/>
        <v>0</v>
      </c>
      <c r="AL29" s="221">
        <f t="shared" si="103"/>
        <v>0</v>
      </c>
      <c r="AM29" s="221">
        <f t="shared" si="104"/>
        <v>0</v>
      </c>
      <c r="AN29" s="221">
        <f t="shared" si="105"/>
        <v>0</v>
      </c>
      <c r="AO29" s="221">
        <f t="shared" si="106"/>
        <v>0</v>
      </c>
      <c r="AP29" s="220">
        <f t="shared" si="107"/>
        <v>0</v>
      </c>
      <c r="AQ29" s="220">
        <f t="shared" si="108"/>
        <v>0</v>
      </c>
      <c r="AR29" s="198">
        <f t="shared" si="109"/>
        <v>0</v>
      </c>
      <c r="AS29" s="198">
        <f t="shared" si="110"/>
        <v>0</v>
      </c>
    </row>
    <row r="30" spans="1:45">
      <c r="A30" s="240"/>
      <c r="B30" s="242" t="str">
        <f>data!A80</f>
        <v>MSZ-FE09NA</v>
      </c>
      <c r="C30" s="203">
        <f>data!B80</f>
        <v>9000</v>
      </c>
      <c r="D30" s="203">
        <f>data!C80</f>
        <v>10900</v>
      </c>
      <c r="E30" s="204">
        <f>data!D80</f>
        <v>4.4981285309277288</v>
      </c>
      <c r="F30" s="204">
        <f>data!E80</f>
        <v>3.0201266650138607</v>
      </c>
      <c r="G30" s="204">
        <f>data!F80</f>
        <v>2.19</v>
      </c>
      <c r="H30" s="204">
        <f>data!G80</f>
        <v>4.542790152403283</v>
      </c>
      <c r="I30" s="204">
        <f>data!H80</f>
        <v>7.6201641266119582</v>
      </c>
      <c r="J30" s="204">
        <f>data!I80</f>
        <v>26</v>
      </c>
      <c r="K30" s="204">
        <f>data!J80</f>
        <v>15.5</v>
      </c>
      <c r="L30" s="197">
        <f>data!K80</f>
        <v>0.03</v>
      </c>
      <c r="M30" s="203">
        <f>data!L80</f>
        <v>10900</v>
      </c>
      <c r="N30" s="203">
        <f>data!M80</f>
        <v>10900</v>
      </c>
      <c r="O30" s="205">
        <f>data!P80</f>
        <v>-18</v>
      </c>
      <c r="P30" s="205">
        <f>data!Q80</f>
        <v>0.12</v>
      </c>
      <c r="Q30" s="206">
        <f t="shared" si="21"/>
        <v>0</v>
      </c>
      <c r="R30" s="207">
        <f t="shared" si="22"/>
        <v>0</v>
      </c>
      <c r="S30" s="198">
        <f t="shared" si="17"/>
        <v>0</v>
      </c>
      <c r="T30" s="198">
        <f t="shared" si="88"/>
        <v>0</v>
      </c>
      <c r="U30" s="198">
        <f t="shared" si="89"/>
        <v>0</v>
      </c>
      <c r="V30" s="198">
        <f t="shared" si="90"/>
        <v>0</v>
      </c>
      <c r="W30" s="198">
        <f t="shared" si="91"/>
        <v>0</v>
      </c>
      <c r="X30" s="198">
        <f t="shared" si="92"/>
        <v>0</v>
      </c>
      <c r="Y30" s="198">
        <f t="shared" si="93"/>
        <v>0</v>
      </c>
      <c r="Z30" s="198">
        <f t="shared" si="94"/>
        <v>0</v>
      </c>
      <c r="AA30" s="198">
        <f t="shared" si="18"/>
        <v>0</v>
      </c>
      <c r="AB30" s="198">
        <f t="shared" si="18"/>
        <v>0</v>
      </c>
      <c r="AC30" s="198">
        <f t="shared" si="19"/>
        <v>0</v>
      </c>
      <c r="AD30" s="198">
        <f t="shared" si="20"/>
        <v>0</v>
      </c>
      <c r="AE30" s="216">
        <f t="shared" si="71"/>
        <v>0</v>
      </c>
      <c r="AF30" s="218">
        <f t="shared" si="23"/>
        <v>0</v>
      </c>
      <c r="AG30" s="219">
        <f t="shared" si="23"/>
        <v>0</v>
      </c>
      <c r="AH30" s="221">
        <f t="shared" si="24"/>
        <v>0</v>
      </c>
      <c r="AI30" s="221">
        <f t="shared" si="24"/>
        <v>0</v>
      </c>
      <c r="AJ30" s="221">
        <f t="shared" si="24"/>
        <v>0</v>
      </c>
      <c r="AK30" s="221">
        <f t="shared" si="24"/>
        <v>0</v>
      </c>
      <c r="AL30" s="221">
        <f t="shared" si="24"/>
        <v>0</v>
      </c>
      <c r="AM30" s="221">
        <f t="shared" si="24"/>
        <v>0</v>
      </c>
      <c r="AN30" s="221">
        <f t="shared" si="24"/>
        <v>0</v>
      </c>
      <c r="AO30" s="221">
        <f t="shared" si="24"/>
        <v>0</v>
      </c>
      <c r="AP30" s="220">
        <f t="shared" si="25"/>
        <v>0</v>
      </c>
      <c r="AQ30" s="220">
        <f t="shared" si="25"/>
        <v>0</v>
      </c>
      <c r="AR30" s="198">
        <f t="shared" si="24"/>
        <v>0</v>
      </c>
      <c r="AS30" s="198">
        <f t="shared" si="24"/>
        <v>0</v>
      </c>
    </row>
    <row r="31" spans="1:45">
      <c r="A31" s="240"/>
      <c r="B31" s="242" t="str">
        <f>data!A81</f>
        <v>MSZ-FE12NA</v>
      </c>
      <c r="C31" s="203">
        <f>data!B81</f>
        <v>12000</v>
      </c>
      <c r="D31" s="203">
        <f>data!C81</f>
        <v>13600</v>
      </c>
      <c r="E31" s="204">
        <f>data!D81</f>
        <v>4.2</v>
      </c>
      <c r="F31" s="204">
        <f>data!E81</f>
        <v>3.0398476413712276</v>
      </c>
      <c r="G31" s="204">
        <f>data!F81</f>
        <v>2.46</v>
      </c>
      <c r="H31" s="204">
        <f>data!G81</f>
        <v>3.7807737397420871</v>
      </c>
      <c r="I31" s="204">
        <f>data!H81</f>
        <v>6.7409144196951933</v>
      </c>
      <c r="J31" s="204">
        <f>data!I81</f>
        <v>23</v>
      </c>
      <c r="K31" s="204">
        <f>data!J81</f>
        <v>12.9</v>
      </c>
      <c r="L31" s="197">
        <f>data!K81</f>
        <v>0.03</v>
      </c>
      <c r="M31" s="203">
        <f>data!L81</f>
        <v>13600</v>
      </c>
      <c r="N31" s="203">
        <f>data!M81</f>
        <v>13600</v>
      </c>
      <c r="O31" s="205">
        <f>data!P81</f>
        <v>-18</v>
      </c>
      <c r="P31" s="205">
        <f>data!Q81</f>
        <v>0.12</v>
      </c>
      <c r="Q31" s="206">
        <f t="shared" si="21"/>
        <v>0</v>
      </c>
      <c r="R31" s="207">
        <f t="shared" si="22"/>
        <v>0</v>
      </c>
      <c r="S31" s="198">
        <f t="shared" si="17"/>
        <v>0</v>
      </c>
      <c r="T31" s="198">
        <f t="shared" si="88"/>
        <v>0</v>
      </c>
      <c r="U31" s="198">
        <f t="shared" si="89"/>
        <v>0</v>
      </c>
      <c r="V31" s="198">
        <f t="shared" si="90"/>
        <v>0</v>
      </c>
      <c r="W31" s="198">
        <f t="shared" si="91"/>
        <v>0</v>
      </c>
      <c r="X31" s="198">
        <f t="shared" si="92"/>
        <v>0</v>
      </c>
      <c r="Y31" s="198">
        <f t="shared" si="93"/>
        <v>0</v>
      </c>
      <c r="Z31" s="198">
        <f t="shared" si="94"/>
        <v>0</v>
      </c>
      <c r="AA31" s="198">
        <f t="shared" si="18"/>
        <v>0</v>
      </c>
      <c r="AB31" s="198">
        <f t="shared" si="18"/>
        <v>0</v>
      </c>
      <c r="AC31" s="198">
        <f t="shared" si="19"/>
        <v>0</v>
      </c>
      <c r="AD31" s="198">
        <f t="shared" si="20"/>
        <v>0</v>
      </c>
      <c r="AE31" s="216">
        <f t="shared" si="71"/>
        <v>0</v>
      </c>
      <c r="AF31" s="218">
        <f t="shared" si="23"/>
        <v>0</v>
      </c>
      <c r="AG31" s="219">
        <f t="shared" si="23"/>
        <v>0</v>
      </c>
      <c r="AH31" s="221">
        <f t="shared" si="24"/>
        <v>0</v>
      </c>
      <c r="AI31" s="221">
        <f t="shared" si="24"/>
        <v>0</v>
      </c>
      <c r="AJ31" s="221">
        <f t="shared" si="24"/>
        <v>0</v>
      </c>
      <c r="AK31" s="221">
        <f t="shared" si="24"/>
        <v>0</v>
      </c>
      <c r="AL31" s="221">
        <f t="shared" si="24"/>
        <v>0</v>
      </c>
      <c r="AM31" s="221">
        <f t="shared" si="24"/>
        <v>0</v>
      </c>
      <c r="AN31" s="221">
        <f t="shared" si="24"/>
        <v>0</v>
      </c>
      <c r="AO31" s="221">
        <f t="shared" si="24"/>
        <v>0</v>
      </c>
      <c r="AP31" s="220">
        <f t="shared" si="25"/>
        <v>0</v>
      </c>
      <c r="AQ31" s="220">
        <f t="shared" si="25"/>
        <v>0</v>
      </c>
      <c r="AR31" s="198">
        <f t="shared" si="24"/>
        <v>0</v>
      </c>
      <c r="AS31" s="198">
        <f t="shared" si="24"/>
        <v>0</v>
      </c>
    </row>
    <row r="32" spans="1:45" ht="15" thickBot="1">
      <c r="A32" s="241"/>
      <c r="B32" s="243" t="str">
        <f>data!A82</f>
        <v>MSZ-FE18NA</v>
      </c>
      <c r="C32" s="203">
        <f>data!B82</f>
        <v>18000</v>
      </c>
      <c r="D32" s="203">
        <f>data!C82</f>
        <v>21600</v>
      </c>
      <c r="E32" s="204">
        <f>data!D82</f>
        <v>4.1095734034497582</v>
      </c>
      <c r="F32" s="204">
        <f>data!E82</f>
        <v>2.7645718930465111</v>
      </c>
      <c r="G32" s="204">
        <f>data!F82</f>
        <v>2.0305182332724088</v>
      </c>
      <c r="H32" s="204">
        <f>data!G82</f>
        <v>4.1617819460726846</v>
      </c>
      <c r="I32" s="204">
        <f>data!H82</f>
        <v>5.9202813599062134</v>
      </c>
      <c r="J32" s="204">
        <f>data!I82</f>
        <v>20.2</v>
      </c>
      <c r="K32" s="204">
        <f>data!J82</f>
        <v>14.2</v>
      </c>
      <c r="L32" s="197">
        <f>data!K82</f>
        <v>0.03</v>
      </c>
      <c r="M32" s="203">
        <f>data!L82</f>
        <v>21600</v>
      </c>
      <c r="N32" s="203">
        <f>data!M82</f>
        <v>21600</v>
      </c>
      <c r="O32" s="205">
        <f>data!P82</f>
        <v>-18</v>
      </c>
      <c r="P32" s="205">
        <f>data!Q82</f>
        <v>0.12</v>
      </c>
      <c r="Q32" s="206">
        <f t="shared" si="21"/>
        <v>0</v>
      </c>
      <c r="R32" s="207">
        <f t="shared" si="22"/>
        <v>0</v>
      </c>
      <c r="S32" s="198">
        <f t="shared" si="17"/>
        <v>0</v>
      </c>
      <c r="T32" s="198">
        <f t="shared" si="88"/>
        <v>0</v>
      </c>
      <c r="U32" s="198">
        <f t="shared" si="89"/>
        <v>0</v>
      </c>
      <c r="V32" s="198">
        <f t="shared" si="90"/>
        <v>0</v>
      </c>
      <c r="W32" s="198">
        <f t="shared" si="91"/>
        <v>0</v>
      </c>
      <c r="X32" s="198">
        <f t="shared" si="92"/>
        <v>0</v>
      </c>
      <c r="Y32" s="198">
        <f t="shared" si="93"/>
        <v>0</v>
      </c>
      <c r="Z32" s="198">
        <f t="shared" si="94"/>
        <v>0</v>
      </c>
      <c r="AA32" s="198">
        <f t="shared" si="18"/>
        <v>0</v>
      </c>
      <c r="AB32" s="198">
        <f t="shared" si="18"/>
        <v>0</v>
      </c>
      <c r="AC32" s="198">
        <f t="shared" si="19"/>
        <v>0</v>
      </c>
      <c r="AD32" s="198">
        <f t="shared" si="20"/>
        <v>0</v>
      </c>
      <c r="AE32" s="216">
        <f t="shared" si="71"/>
        <v>0</v>
      </c>
      <c r="AF32" s="218">
        <f t="shared" si="23"/>
        <v>0</v>
      </c>
      <c r="AG32" s="219">
        <f t="shared" si="23"/>
        <v>0</v>
      </c>
      <c r="AH32" s="221">
        <f t="shared" si="24"/>
        <v>0</v>
      </c>
      <c r="AI32" s="221">
        <f t="shared" si="24"/>
        <v>0</v>
      </c>
      <c r="AJ32" s="221">
        <f t="shared" si="24"/>
        <v>0</v>
      </c>
      <c r="AK32" s="221">
        <f t="shared" si="24"/>
        <v>0</v>
      </c>
      <c r="AL32" s="221">
        <f t="shared" si="24"/>
        <v>0</v>
      </c>
      <c r="AM32" s="221">
        <f t="shared" si="24"/>
        <v>0</v>
      </c>
      <c r="AN32" s="221">
        <f t="shared" si="24"/>
        <v>0</v>
      </c>
      <c r="AO32" s="221">
        <f t="shared" si="24"/>
        <v>0</v>
      </c>
      <c r="AP32" s="220">
        <f t="shared" si="25"/>
        <v>0</v>
      </c>
      <c r="AQ32" s="220">
        <f t="shared" si="25"/>
        <v>0</v>
      </c>
      <c r="AR32" s="198">
        <f t="shared" si="24"/>
        <v>0</v>
      </c>
      <c r="AS32" s="198">
        <f t="shared" si="24"/>
        <v>0</v>
      </c>
    </row>
    <row r="33" spans="1:45" ht="15" hidden="1" thickTop="1">
      <c r="A33" s="208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9"/>
      <c r="P33" s="209"/>
      <c r="Q33" s="210"/>
      <c r="R33" s="211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16"/>
      <c r="AF33" s="222"/>
      <c r="AG33" s="223"/>
      <c r="AH33" s="224"/>
      <c r="AI33" s="224"/>
      <c r="AJ33" s="224"/>
      <c r="AK33" s="224"/>
      <c r="AL33" s="224"/>
      <c r="AM33" s="224"/>
      <c r="AN33" s="224"/>
      <c r="AO33" s="224"/>
      <c r="AP33" s="225"/>
      <c r="AQ33" s="225"/>
      <c r="AR33" s="216"/>
      <c r="AS33" s="216"/>
    </row>
    <row r="34" spans="1:45" hidden="1">
      <c r="A34" s="212">
        <f>SUM(A3:A32)</f>
        <v>4</v>
      </c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4"/>
      <c r="P34" s="214"/>
      <c r="Q34" s="212">
        <f>SUM(Q3:Q32)</f>
        <v>132000</v>
      </c>
      <c r="R34" s="215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6"/>
      <c r="AF34" s="237">
        <f>SUM(AF3:AF32)</f>
        <v>132000</v>
      </c>
      <c r="AG34" s="233">
        <f t="shared" ref="AG34:AS34" si="111">SUM(AG3:AG32)</f>
        <v>147200</v>
      </c>
      <c r="AH34" s="238">
        <f t="shared" si="111"/>
        <v>3.372727272727273</v>
      </c>
      <c r="AI34" s="238">
        <f t="shared" si="111"/>
        <v>2.3909090909090907</v>
      </c>
      <c r="AJ34" s="238">
        <f t="shared" si="111"/>
        <v>1.7867924528301886</v>
      </c>
      <c r="AK34" s="238">
        <f t="shared" si="111"/>
        <v>3.1786209101566665</v>
      </c>
      <c r="AL34" s="238">
        <f t="shared" si="111"/>
        <v>4.6573590536075882</v>
      </c>
      <c r="AM34" s="238">
        <f t="shared" si="111"/>
        <v>15.890909090909091</v>
      </c>
      <c r="AN34" s="238">
        <f t="shared" si="111"/>
        <v>10.845454545454544</v>
      </c>
      <c r="AO34" s="238">
        <f t="shared" si="111"/>
        <v>0.1</v>
      </c>
      <c r="AP34" s="233">
        <f>SUM(AP3:AP32)</f>
        <v>147200</v>
      </c>
      <c r="AQ34" s="233">
        <f t="shared" si="111"/>
        <v>147200</v>
      </c>
      <c r="AR34" s="238">
        <f t="shared" si="111"/>
        <v>-20.727272727272727</v>
      </c>
      <c r="AS34" s="239">
        <f t="shared" si="111"/>
        <v>0.27272727272727271</v>
      </c>
    </row>
    <row r="35" spans="1:45" ht="15" thickTop="1">
      <c r="AF35" s="226"/>
      <c r="AG35" s="226"/>
      <c r="AH35" s="227"/>
      <c r="AI35" s="227"/>
      <c r="AJ35" s="227"/>
      <c r="AK35" s="227"/>
      <c r="AL35" s="227"/>
      <c r="AM35" s="227"/>
      <c r="AN35" s="227"/>
      <c r="AO35" s="227"/>
      <c r="AP35" s="228"/>
      <c r="AQ35" s="228"/>
      <c r="AR35" s="229"/>
      <c r="AS35" s="229"/>
    </row>
    <row r="36" spans="1:45">
      <c r="AF36" s="226"/>
      <c r="AG36" s="226"/>
      <c r="AH36" s="227"/>
      <c r="AI36" s="227"/>
      <c r="AJ36" s="227"/>
      <c r="AK36" s="227"/>
      <c r="AL36" s="227"/>
      <c r="AM36" s="227"/>
      <c r="AN36" s="227"/>
      <c r="AO36" s="227"/>
      <c r="AP36" s="228"/>
      <c r="AQ36" s="228"/>
      <c r="AR36" s="229"/>
      <c r="AS36" s="229"/>
    </row>
    <row r="37" spans="1:45">
      <c r="AF37" s="228"/>
      <c r="AG37" s="228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</row>
    <row r="38" spans="1:45">
      <c r="AF38" s="226"/>
      <c r="AG38" s="226"/>
      <c r="AH38" s="230"/>
      <c r="AI38" s="230"/>
      <c r="AJ38" s="230"/>
      <c r="AK38" s="230"/>
      <c r="AL38" s="230"/>
      <c r="AM38" s="231"/>
      <c r="AN38" s="231"/>
      <c r="AO38" s="230"/>
      <c r="AP38" s="226"/>
      <c r="AQ38" s="226"/>
      <c r="AR38" s="232"/>
      <c r="AS38" s="229"/>
    </row>
  </sheetData>
  <sheetProtection password="D9D7" sheet="1" objects="1" scenarios="1" selectLockedCells="1"/>
  <mergeCells count="12">
    <mergeCell ref="AF1:AG1"/>
    <mergeCell ref="AH1:AL1"/>
    <mergeCell ref="AM1:AN1"/>
    <mergeCell ref="AP1:AQ1"/>
    <mergeCell ref="X1:Y1"/>
    <mergeCell ref="AA1:AB1"/>
    <mergeCell ref="S1:W1"/>
    <mergeCell ref="C1:D1"/>
    <mergeCell ref="E1:I1"/>
    <mergeCell ref="J1:K1"/>
    <mergeCell ref="M1:N1"/>
    <mergeCell ref="Q1:R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Z137"/>
  <sheetViews>
    <sheetView workbookViewId="0">
      <pane xSplit="3" ySplit="2" topLeftCell="AL3" activePane="bottomRight" state="frozen"/>
      <selection pane="topRight" activeCell="D1" sqref="D1"/>
      <selection pane="bottomLeft" activeCell="A3" sqref="A3"/>
      <selection pane="bottomRight" activeCell="CT38" sqref="CT38"/>
    </sheetView>
  </sheetViews>
  <sheetFormatPr defaultRowHeight="14.5"/>
  <cols>
    <col min="4" max="4" width="11.54296875" bestFit="1" customWidth="1"/>
    <col min="5" max="5" width="12.81640625" bestFit="1" customWidth="1"/>
    <col min="6" max="6" width="12.26953125" bestFit="1" customWidth="1"/>
    <col min="7" max="7" width="11.54296875" bestFit="1" customWidth="1"/>
    <col min="8" max="8" width="14.81640625" bestFit="1" customWidth="1"/>
    <col min="9" max="31" width="14.81640625" customWidth="1"/>
    <col min="32" max="32" width="15.453125" bestFit="1" customWidth="1"/>
    <col min="33" max="33" width="14.81640625" customWidth="1"/>
    <col min="34" max="34" width="16" bestFit="1" customWidth="1"/>
    <col min="35" max="45" width="14.81640625" customWidth="1"/>
    <col min="46" max="47" width="14.81640625" style="184" customWidth="1"/>
    <col min="48" max="61" width="14.81640625" customWidth="1"/>
    <col min="62" max="81" width="14.81640625" style="184" customWidth="1"/>
    <col min="82" max="82" width="16" style="184" bestFit="1" customWidth="1"/>
    <col min="83" max="103" width="14.81640625" style="184" customWidth="1"/>
    <col min="104" max="104" width="14.81640625" bestFit="1" customWidth="1"/>
  </cols>
  <sheetData>
    <row r="1" spans="1:104">
      <c r="D1" t="s">
        <v>169</v>
      </c>
      <c r="E1" t="s">
        <v>170</v>
      </c>
      <c r="F1" t="s">
        <v>171</v>
      </c>
      <c r="G1" t="s">
        <v>172</v>
      </c>
      <c r="H1" t="s">
        <v>173</v>
      </c>
      <c r="I1" t="s">
        <v>174</v>
      </c>
      <c r="J1" t="s">
        <v>175</v>
      </c>
      <c r="K1" t="s">
        <v>176</v>
      </c>
      <c r="L1" t="s">
        <v>177</v>
      </c>
      <c r="M1" t="s">
        <v>178</v>
      </c>
      <c r="N1" t="s">
        <v>179</v>
      </c>
      <c r="O1" t="s">
        <v>180</v>
      </c>
      <c r="P1" t="s">
        <v>181</v>
      </c>
      <c r="Q1" t="s">
        <v>182</v>
      </c>
      <c r="R1" t="s">
        <v>183</v>
      </c>
      <c r="S1" t="s">
        <v>184</v>
      </c>
      <c r="T1" t="s">
        <v>185</v>
      </c>
      <c r="U1" t="s">
        <v>186</v>
      </c>
      <c r="V1" t="s">
        <v>187</v>
      </c>
      <c r="W1" t="s">
        <v>188</v>
      </c>
      <c r="X1" t="s">
        <v>189</v>
      </c>
      <c r="Y1" t="s">
        <v>190</v>
      </c>
      <c r="Z1" t="s">
        <v>191</v>
      </c>
      <c r="AA1" t="s">
        <v>192</v>
      </c>
      <c r="AB1" t="s">
        <v>193</v>
      </c>
      <c r="AC1" t="s">
        <v>194</v>
      </c>
      <c r="AD1" t="s">
        <v>195</v>
      </c>
      <c r="AE1" t="s">
        <v>196</v>
      </c>
      <c r="AF1" t="s">
        <v>197</v>
      </c>
      <c r="AG1" t="s">
        <v>207</v>
      </c>
      <c r="AH1" t="s">
        <v>198</v>
      </c>
      <c r="AI1" t="s">
        <v>199</v>
      </c>
      <c r="AJ1" t="s">
        <v>200</v>
      </c>
      <c r="AK1" t="s">
        <v>201</v>
      </c>
      <c r="AL1" t="s">
        <v>202</v>
      </c>
      <c r="AM1" t="s">
        <v>210</v>
      </c>
      <c r="AN1" s="166" t="s">
        <v>212</v>
      </c>
      <c r="AO1" s="184" t="s">
        <v>213</v>
      </c>
      <c r="AP1" s="168" t="s">
        <v>215</v>
      </c>
      <c r="AQ1" s="169" t="s">
        <v>175</v>
      </c>
      <c r="AR1" s="170" t="s">
        <v>217</v>
      </c>
      <c r="AS1" s="171" t="s">
        <v>219</v>
      </c>
      <c r="AT1" s="184" t="s">
        <v>290</v>
      </c>
      <c r="AU1" s="184" t="s">
        <v>291</v>
      </c>
      <c r="AV1" s="172" t="s">
        <v>220</v>
      </c>
      <c r="AW1" s="173" t="s">
        <v>222</v>
      </c>
      <c r="AX1" s="174" t="s">
        <v>225</v>
      </c>
      <c r="AY1" s="176" t="s">
        <v>227</v>
      </c>
      <c r="AZ1" s="177" t="s">
        <v>229</v>
      </c>
      <c r="BA1" s="178" t="s">
        <v>230</v>
      </c>
      <c r="BB1" s="179" t="s">
        <v>232</v>
      </c>
      <c r="BC1" s="180" t="s">
        <v>233</v>
      </c>
      <c r="BD1" s="181" t="s">
        <v>234</v>
      </c>
      <c r="BE1" s="182" t="s">
        <v>236</v>
      </c>
      <c r="BF1" s="183" t="s">
        <v>237</v>
      </c>
      <c r="BG1" s="184" t="s">
        <v>239</v>
      </c>
      <c r="BH1" s="184" t="s">
        <v>275</v>
      </c>
      <c r="BI1" s="184" t="s">
        <v>276</v>
      </c>
      <c r="BJ1" s="184" t="s">
        <v>273</v>
      </c>
      <c r="BK1" s="184" t="s">
        <v>293</v>
      </c>
      <c r="BL1" s="184" t="s">
        <v>295</v>
      </c>
      <c r="BM1" s="184" t="s">
        <v>297</v>
      </c>
      <c r="BN1" s="184" t="s">
        <v>299</v>
      </c>
      <c r="BO1" s="184" t="s">
        <v>310</v>
      </c>
      <c r="BP1" s="184" t="s">
        <v>311</v>
      </c>
      <c r="BQ1" s="184" t="s">
        <v>300</v>
      </c>
      <c r="BR1" s="184" t="s">
        <v>301</v>
      </c>
      <c r="BS1" s="184" t="s">
        <v>302</v>
      </c>
      <c r="BT1" s="184" t="s">
        <v>303</v>
      </c>
      <c r="BU1" s="184" t="s">
        <v>312</v>
      </c>
      <c r="BV1" s="184" t="s">
        <v>304</v>
      </c>
      <c r="BW1" s="184" t="s">
        <v>313</v>
      </c>
      <c r="BX1" s="184" t="s">
        <v>314</v>
      </c>
      <c r="BY1" s="184" t="s">
        <v>305</v>
      </c>
      <c r="BZ1" s="184" t="s">
        <v>342</v>
      </c>
      <c r="CA1" s="184" t="s">
        <v>315</v>
      </c>
      <c r="CB1" s="184" t="s">
        <v>316</v>
      </c>
      <c r="CC1" s="184" t="s">
        <v>306</v>
      </c>
      <c r="CD1" s="184" t="s">
        <v>317</v>
      </c>
      <c r="CE1" s="184" t="s">
        <v>319</v>
      </c>
      <c r="CF1" s="184" t="s">
        <v>320</v>
      </c>
      <c r="CG1" s="184" t="s">
        <v>321</v>
      </c>
      <c r="CH1" s="184" t="s">
        <v>322</v>
      </c>
      <c r="CI1" s="184" t="s">
        <v>324</v>
      </c>
      <c r="CJ1" s="184" t="s">
        <v>325</v>
      </c>
      <c r="CK1" s="184" t="s">
        <v>327</v>
      </c>
      <c r="CL1" s="184" t="s">
        <v>328</v>
      </c>
      <c r="CM1" s="184" t="s">
        <v>330</v>
      </c>
      <c r="CN1" s="184" t="s">
        <v>331</v>
      </c>
      <c r="CO1" s="184" t="s">
        <v>223</v>
      </c>
      <c r="CP1" s="184" t="s">
        <v>332</v>
      </c>
      <c r="CQ1" s="184" t="s">
        <v>333</v>
      </c>
      <c r="CR1" s="184" t="s">
        <v>343</v>
      </c>
      <c r="CS1" s="184" t="s">
        <v>344</v>
      </c>
      <c r="CT1" s="184" t="s">
        <v>335</v>
      </c>
      <c r="CU1" s="184" t="s">
        <v>336</v>
      </c>
      <c r="CV1" s="184" t="s">
        <v>338</v>
      </c>
      <c r="CW1" s="184" t="s">
        <v>339</v>
      </c>
      <c r="CX1" s="184" t="s">
        <v>340</v>
      </c>
      <c r="CY1" s="184" t="s">
        <v>341</v>
      </c>
    </row>
    <row r="2" spans="1:104">
      <c r="D2" t="s">
        <v>160</v>
      </c>
      <c r="E2" t="s">
        <v>160</v>
      </c>
      <c r="F2" t="s">
        <v>161</v>
      </c>
      <c r="G2" t="s">
        <v>161</v>
      </c>
      <c r="H2" t="s">
        <v>162</v>
      </c>
      <c r="I2" t="s">
        <v>162</v>
      </c>
      <c r="J2" t="s">
        <v>162</v>
      </c>
      <c r="K2" t="s">
        <v>162</v>
      </c>
      <c r="L2" t="s">
        <v>53</v>
      </c>
      <c r="M2" t="s">
        <v>53</v>
      </c>
      <c r="N2" t="s">
        <v>53</v>
      </c>
      <c r="O2" t="s">
        <v>163</v>
      </c>
      <c r="P2" t="s">
        <v>163</v>
      </c>
      <c r="Q2" t="s">
        <v>163</v>
      </c>
      <c r="R2" t="s">
        <v>164</v>
      </c>
      <c r="S2" t="s">
        <v>164</v>
      </c>
      <c r="T2" t="s">
        <v>164</v>
      </c>
      <c r="U2" t="s">
        <v>165</v>
      </c>
      <c r="V2" t="s">
        <v>165</v>
      </c>
      <c r="W2" t="s">
        <v>165</v>
      </c>
      <c r="X2" t="s">
        <v>165</v>
      </c>
      <c r="Y2" t="s">
        <v>165</v>
      </c>
      <c r="Z2" t="s">
        <v>165</v>
      </c>
      <c r="AA2" t="s">
        <v>165</v>
      </c>
      <c r="AB2" t="s">
        <v>165</v>
      </c>
      <c r="AC2" t="s">
        <v>165</v>
      </c>
      <c r="AD2" t="s">
        <v>166</v>
      </c>
      <c r="AE2" t="s">
        <v>166</v>
      </c>
      <c r="AF2" t="s">
        <v>166</v>
      </c>
      <c r="AG2" t="s">
        <v>166</v>
      </c>
      <c r="AH2" t="s">
        <v>166</v>
      </c>
      <c r="AI2" t="s">
        <v>166</v>
      </c>
      <c r="AJ2" t="s">
        <v>167</v>
      </c>
      <c r="AK2" t="s">
        <v>168</v>
      </c>
      <c r="AL2" t="s">
        <v>168</v>
      </c>
      <c r="AM2" t="s">
        <v>211</v>
      </c>
      <c r="AN2" s="166" t="s">
        <v>211</v>
      </c>
      <c r="AO2" s="167" t="s">
        <v>214</v>
      </c>
      <c r="AP2" s="168" t="s">
        <v>216</v>
      </c>
      <c r="AQ2" s="169" t="s">
        <v>216</v>
      </c>
      <c r="AR2" s="170" t="s">
        <v>218</v>
      </c>
      <c r="AS2" s="171" t="s">
        <v>218</v>
      </c>
      <c r="AT2" s="184" t="s">
        <v>218</v>
      </c>
      <c r="AU2" s="184" t="s">
        <v>218</v>
      </c>
      <c r="AV2" s="172" t="s">
        <v>221</v>
      </c>
      <c r="AW2" s="173" t="s">
        <v>221</v>
      </c>
      <c r="AX2" s="174" t="s">
        <v>226</v>
      </c>
      <c r="AY2" s="176" t="s">
        <v>228</v>
      </c>
      <c r="AZ2" s="177" t="s">
        <v>228</v>
      </c>
      <c r="BA2" s="178" t="s">
        <v>231</v>
      </c>
      <c r="BB2" s="179" t="s">
        <v>231</v>
      </c>
      <c r="BC2" s="180" t="s">
        <v>231</v>
      </c>
      <c r="BD2" s="181" t="s">
        <v>235</v>
      </c>
      <c r="BE2" s="182" t="s">
        <v>235</v>
      </c>
      <c r="BF2" s="183" t="s">
        <v>238</v>
      </c>
      <c r="BG2" s="184" t="s">
        <v>238</v>
      </c>
      <c r="BH2" s="184" t="s">
        <v>274</v>
      </c>
      <c r="BI2" s="184" t="s">
        <v>274</v>
      </c>
      <c r="BJ2" s="184" t="s">
        <v>274</v>
      </c>
      <c r="BK2" s="184" t="s">
        <v>294</v>
      </c>
      <c r="BL2" s="184" t="s">
        <v>296</v>
      </c>
      <c r="BM2" s="184" t="s">
        <v>298</v>
      </c>
      <c r="BN2" s="184" t="s">
        <v>307</v>
      </c>
      <c r="BO2" s="184" t="s">
        <v>307</v>
      </c>
      <c r="BP2" s="184" t="s">
        <v>307</v>
      </c>
      <c r="BQ2" s="184" t="s">
        <v>308</v>
      </c>
      <c r="BR2" s="184" t="s">
        <v>308</v>
      </c>
      <c r="BS2" s="184" t="s">
        <v>308</v>
      </c>
      <c r="BT2" s="184" t="s">
        <v>308</v>
      </c>
      <c r="BU2" s="184" t="s">
        <v>308</v>
      </c>
      <c r="BV2" s="184" t="s">
        <v>308</v>
      </c>
      <c r="BW2" s="184" t="s">
        <v>308</v>
      </c>
      <c r="BX2" s="184" t="s">
        <v>308</v>
      </c>
      <c r="BY2" s="184" t="s">
        <v>308</v>
      </c>
      <c r="BZ2" s="184" t="s">
        <v>309</v>
      </c>
      <c r="CA2" s="184" t="s">
        <v>309</v>
      </c>
      <c r="CB2" s="184" t="s">
        <v>309</v>
      </c>
      <c r="CC2" s="184" t="s">
        <v>309</v>
      </c>
      <c r="CD2" s="184" t="s">
        <v>318</v>
      </c>
      <c r="CE2" s="184" t="s">
        <v>318</v>
      </c>
      <c r="CF2" s="184" t="s">
        <v>318</v>
      </c>
      <c r="CG2" s="184" t="s">
        <v>318</v>
      </c>
      <c r="CH2" s="184" t="s">
        <v>323</v>
      </c>
      <c r="CI2" s="184" t="s">
        <v>323</v>
      </c>
      <c r="CJ2" s="184" t="s">
        <v>326</v>
      </c>
      <c r="CK2" s="184" t="s">
        <v>326</v>
      </c>
      <c r="CL2" s="184" t="s">
        <v>329</v>
      </c>
      <c r="CM2" s="184" t="s">
        <v>329</v>
      </c>
      <c r="CN2" s="184" t="s">
        <v>329</v>
      </c>
      <c r="CO2" s="184" t="s">
        <v>224</v>
      </c>
      <c r="CP2" s="184" t="s">
        <v>224</v>
      </c>
      <c r="CQ2" s="184" t="s">
        <v>224</v>
      </c>
      <c r="CR2" s="184" t="s">
        <v>334</v>
      </c>
      <c r="CS2" s="184" t="s">
        <v>334</v>
      </c>
      <c r="CT2" s="184" t="s">
        <v>334</v>
      </c>
      <c r="CU2" s="184" t="s">
        <v>337</v>
      </c>
      <c r="CV2" s="184" t="s">
        <v>337</v>
      </c>
      <c r="CW2" s="184" t="s">
        <v>337</v>
      </c>
      <c r="CX2" s="184" t="s">
        <v>337</v>
      </c>
      <c r="CY2" s="184" t="s">
        <v>337</v>
      </c>
    </row>
    <row r="3" spans="1:104">
      <c r="A3" s="476" t="s">
        <v>1</v>
      </c>
      <c r="B3" s="476"/>
      <c r="C3" s="9" t="s">
        <v>52</v>
      </c>
      <c r="D3" s="9" t="s">
        <v>169</v>
      </c>
      <c r="E3" s="9" t="s">
        <v>170</v>
      </c>
      <c r="F3" s="9" t="s">
        <v>171</v>
      </c>
      <c r="G3" s="9" t="s">
        <v>172</v>
      </c>
      <c r="H3" s="9" t="s">
        <v>173</v>
      </c>
      <c r="I3" s="9" t="s">
        <v>174</v>
      </c>
      <c r="J3" s="9" t="s">
        <v>175</v>
      </c>
      <c r="K3" s="9" t="s">
        <v>176</v>
      </c>
      <c r="L3" s="9" t="s">
        <v>177</v>
      </c>
      <c r="M3" s="9" t="s">
        <v>178</v>
      </c>
      <c r="N3" s="9" t="s">
        <v>179</v>
      </c>
      <c r="O3" s="9" t="s">
        <v>180</v>
      </c>
      <c r="P3" s="9" t="s">
        <v>181</v>
      </c>
      <c r="Q3" s="9" t="s">
        <v>182</v>
      </c>
      <c r="R3" s="9" t="s">
        <v>183</v>
      </c>
      <c r="S3" s="9" t="s">
        <v>184</v>
      </c>
      <c r="T3" s="9" t="s">
        <v>185</v>
      </c>
      <c r="U3" s="9" t="s">
        <v>186</v>
      </c>
      <c r="V3" s="9" t="s">
        <v>187</v>
      </c>
      <c r="W3" s="9" t="s">
        <v>188</v>
      </c>
      <c r="X3" s="9" t="s">
        <v>189</v>
      </c>
      <c r="Y3" s="9" t="s">
        <v>190</v>
      </c>
      <c r="Z3" s="9" t="s">
        <v>191</v>
      </c>
      <c r="AA3" s="9" t="s">
        <v>192</v>
      </c>
      <c r="AB3" s="9" t="s">
        <v>193</v>
      </c>
      <c r="AC3" s="9" t="s">
        <v>194</v>
      </c>
      <c r="AD3" s="9" t="s">
        <v>195</v>
      </c>
      <c r="AE3" s="9" t="s">
        <v>196</v>
      </c>
      <c r="AF3" s="9" t="s">
        <v>197</v>
      </c>
      <c r="AG3" s="9" t="s">
        <v>207</v>
      </c>
      <c r="AH3" s="9" t="s">
        <v>198</v>
      </c>
      <c r="AI3" s="9" t="s">
        <v>199</v>
      </c>
      <c r="AJ3" s="9" t="s">
        <v>200</v>
      </c>
      <c r="AK3" s="9" t="s">
        <v>201</v>
      </c>
      <c r="AL3" s="9" t="s">
        <v>202</v>
      </c>
      <c r="AM3" s="9" t="s">
        <v>210</v>
      </c>
      <c r="AN3" s="9" t="s">
        <v>212</v>
      </c>
      <c r="AO3" s="9" t="s">
        <v>213</v>
      </c>
      <c r="AP3" s="9" t="s">
        <v>215</v>
      </c>
      <c r="AQ3" s="9" t="s">
        <v>175</v>
      </c>
      <c r="AR3" s="9" t="s">
        <v>217</v>
      </c>
      <c r="AS3" s="9" t="s">
        <v>219</v>
      </c>
      <c r="AT3" s="9" t="s">
        <v>290</v>
      </c>
      <c r="AU3" s="9" t="s">
        <v>291</v>
      </c>
      <c r="AV3" s="9" t="s">
        <v>220</v>
      </c>
      <c r="AW3" s="9" t="s">
        <v>222</v>
      </c>
      <c r="AX3" s="9" t="s">
        <v>225</v>
      </c>
      <c r="AY3" s="9" t="s">
        <v>227</v>
      </c>
      <c r="AZ3" s="9" t="s">
        <v>229</v>
      </c>
      <c r="BA3" s="9" t="s">
        <v>230</v>
      </c>
      <c r="BB3" s="9" t="s">
        <v>232</v>
      </c>
      <c r="BC3" s="9" t="s">
        <v>233</v>
      </c>
      <c r="BD3" s="9" t="s">
        <v>234</v>
      </c>
      <c r="BE3" s="9" t="s">
        <v>236</v>
      </c>
      <c r="BF3" s="9" t="s">
        <v>237</v>
      </c>
      <c r="BG3" s="9" t="s">
        <v>239</v>
      </c>
      <c r="BH3" s="9" t="s">
        <v>275</v>
      </c>
      <c r="BI3" s="9" t="s">
        <v>276</v>
      </c>
      <c r="BJ3" s="9" t="s">
        <v>273</v>
      </c>
      <c r="BK3" s="9" t="s">
        <v>293</v>
      </c>
      <c r="BL3" s="9" t="s">
        <v>295</v>
      </c>
      <c r="BM3" s="9" t="s">
        <v>297</v>
      </c>
      <c r="BN3" s="9" t="s">
        <v>299</v>
      </c>
      <c r="BO3" s="9" t="s">
        <v>310</v>
      </c>
      <c r="BP3" s="9" t="s">
        <v>311</v>
      </c>
      <c r="BQ3" s="9" t="s">
        <v>300</v>
      </c>
      <c r="BR3" s="9" t="s">
        <v>301</v>
      </c>
      <c r="BS3" s="9" t="s">
        <v>302</v>
      </c>
      <c r="BT3" s="9" t="s">
        <v>303</v>
      </c>
      <c r="BU3" s="9" t="s">
        <v>312</v>
      </c>
      <c r="BV3" s="9" t="s">
        <v>304</v>
      </c>
      <c r="BW3" s="9" t="s">
        <v>313</v>
      </c>
      <c r="BX3" s="9" t="s">
        <v>314</v>
      </c>
      <c r="BY3" s="9" t="s">
        <v>305</v>
      </c>
      <c r="BZ3" s="9" t="s">
        <v>342</v>
      </c>
      <c r="CA3" s="9" t="s">
        <v>315</v>
      </c>
      <c r="CB3" s="9" t="s">
        <v>316</v>
      </c>
      <c r="CC3" s="9" t="s">
        <v>306</v>
      </c>
      <c r="CD3" s="9" t="s">
        <v>317</v>
      </c>
      <c r="CE3" s="9" t="s">
        <v>319</v>
      </c>
      <c r="CF3" s="9" t="s">
        <v>320</v>
      </c>
      <c r="CG3" s="9" t="s">
        <v>321</v>
      </c>
      <c r="CH3" s="9" t="s">
        <v>322</v>
      </c>
      <c r="CI3" s="9" t="s">
        <v>324</v>
      </c>
      <c r="CJ3" s="9" t="s">
        <v>325</v>
      </c>
      <c r="CK3" s="9" t="s">
        <v>327</v>
      </c>
      <c r="CL3" s="9" t="s">
        <v>328</v>
      </c>
      <c r="CM3" s="9" t="s">
        <v>330</v>
      </c>
      <c r="CN3" s="9" t="s">
        <v>331</v>
      </c>
      <c r="CO3" s="9" t="s">
        <v>223</v>
      </c>
      <c r="CP3" s="9" t="s">
        <v>332</v>
      </c>
      <c r="CQ3" s="9" t="s">
        <v>333</v>
      </c>
      <c r="CR3" s="9" t="s">
        <v>343</v>
      </c>
      <c r="CS3" s="9" t="s">
        <v>344</v>
      </c>
      <c r="CT3" s="9" t="s">
        <v>335</v>
      </c>
      <c r="CU3" s="9" t="s">
        <v>336</v>
      </c>
      <c r="CV3" s="9" t="s">
        <v>338</v>
      </c>
      <c r="CW3" s="9" t="s">
        <v>339</v>
      </c>
      <c r="CX3" s="9" t="s">
        <v>340</v>
      </c>
      <c r="CY3" s="9" t="s">
        <v>341</v>
      </c>
      <c r="CZ3" s="9"/>
    </row>
    <row r="4" spans="1:104">
      <c r="A4" s="27">
        <v>-30</v>
      </c>
      <c r="B4" s="27">
        <v>-25</v>
      </c>
      <c r="C4" s="21">
        <f t="shared" ref="C4:C7" si="0">(A4+B4)/2</f>
        <v>-27.5</v>
      </c>
      <c r="D4" s="20">
        <v>0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  <c r="X4" s="20">
        <v>0</v>
      </c>
      <c r="Y4" s="20">
        <v>0</v>
      </c>
      <c r="Z4" s="20">
        <v>0</v>
      </c>
      <c r="AA4" s="20">
        <v>0</v>
      </c>
      <c r="AB4" s="20">
        <v>0</v>
      </c>
      <c r="AC4" s="20">
        <v>0</v>
      </c>
      <c r="AD4" s="20">
        <v>0</v>
      </c>
      <c r="AE4" s="20">
        <v>0</v>
      </c>
      <c r="AF4" s="20">
        <v>0</v>
      </c>
      <c r="AG4" s="20">
        <v>0</v>
      </c>
      <c r="AH4" s="20">
        <v>0</v>
      </c>
      <c r="AI4" s="20">
        <v>0</v>
      </c>
      <c r="AJ4" s="20">
        <v>0</v>
      </c>
      <c r="AK4" s="20">
        <v>0</v>
      </c>
      <c r="AL4" s="20">
        <v>0</v>
      </c>
      <c r="AM4" s="165">
        <v>0</v>
      </c>
      <c r="AN4" s="166">
        <v>0</v>
      </c>
      <c r="AO4" s="167">
        <v>0</v>
      </c>
      <c r="AP4" s="168">
        <v>0</v>
      </c>
      <c r="AQ4" s="169">
        <v>0</v>
      </c>
      <c r="AR4" s="170">
        <v>0</v>
      </c>
      <c r="AS4" s="171">
        <v>0</v>
      </c>
      <c r="AT4" s="20">
        <v>0</v>
      </c>
      <c r="AU4" s="20">
        <v>0</v>
      </c>
      <c r="AV4" s="172">
        <v>0</v>
      </c>
      <c r="AW4" s="173">
        <v>0</v>
      </c>
      <c r="AX4" s="175">
        <v>0</v>
      </c>
      <c r="AY4" s="176">
        <v>0</v>
      </c>
      <c r="AZ4" s="177">
        <v>0</v>
      </c>
      <c r="BA4" s="178">
        <v>0</v>
      </c>
      <c r="BB4" s="179">
        <v>0</v>
      </c>
      <c r="BC4" s="180">
        <v>0</v>
      </c>
      <c r="BD4" s="181">
        <v>0</v>
      </c>
      <c r="BE4" s="182">
        <v>0</v>
      </c>
      <c r="BF4" s="183">
        <v>0</v>
      </c>
      <c r="BG4" s="184">
        <v>0</v>
      </c>
      <c r="BH4" s="20">
        <v>0</v>
      </c>
      <c r="BI4" s="20">
        <v>0</v>
      </c>
      <c r="BJ4" s="20">
        <v>0</v>
      </c>
      <c r="BK4" s="20">
        <v>0</v>
      </c>
      <c r="BL4" s="20">
        <v>0</v>
      </c>
      <c r="BM4" s="20">
        <v>0</v>
      </c>
      <c r="BN4" s="20">
        <v>0</v>
      </c>
      <c r="BO4" s="20">
        <v>0</v>
      </c>
      <c r="BP4" s="20">
        <v>0</v>
      </c>
      <c r="BQ4" s="20">
        <v>0</v>
      </c>
      <c r="BR4" s="20">
        <v>0</v>
      </c>
      <c r="BS4" s="20">
        <v>0</v>
      </c>
      <c r="BT4" s="20">
        <v>0</v>
      </c>
      <c r="BU4" s="20">
        <v>0</v>
      </c>
      <c r="BV4" s="20">
        <v>0</v>
      </c>
      <c r="BW4" s="20">
        <v>0</v>
      </c>
      <c r="BX4" s="20">
        <v>0</v>
      </c>
      <c r="BY4" s="20">
        <v>0</v>
      </c>
      <c r="BZ4" s="20">
        <v>0</v>
      </c>
      <c r="CA4" s="20">
        <v>0</v>
      </c>
      <c r="CB4" s="20">
        <v>0</v>
      </c>
      <c r="CC4" s="20">
        <v>0</v>
      </c>
      <c r="CD4" s="20">
        <v>0</v>
      </c>
      <c r="CE4" s="20">
        <v>0</v>
      </c>
      <c r="CF4" s="20">
        <v>0</v>
      </c>
      <c r="CG4" s="20">
        <v>0</v>
      </c>
      <c r="CH4" s="20">
        <v>0</v>
      </c>
      <c r="CI4" s="20">
        <v>0</v>
      </c>
      <c r="CJ4" s="20">
        <v>0</v>
      </c>
      <c r="CK4" s="20">
        <v>0</v>
      </c>
      <c r="CL4" s="20">
        <v>0</v>
      </c>
      <c r="CM4" s="20">
        <v>0</v>
      </c>
      <c r="CN4" s="20">
        <v>0</v>
      </c>
      <c r="CO4" s="20">
        <v>0</v>
      </c>
      <c r="CP4" s="20">
        <v>0</v>
      </c>
      <c r="CQ4" s="20">
        <v>0</v>
      </c>
      <c r="CR4" s="20">
        <v>0</v>
      </c>
      <c r="CS4" s="20">
        <v>0</v>
      </c>
      <c r="CT4" s="20">
        <v>0</v>
      </c>
      <c r="CU4" s="20">
        <v>0</v>
      </c>
      <c r="CV4" s="20">
        <v>0</v>
      </c>
      <c r="CW4" s="20">
        <v>0</v>
      </c>
      <c r="CX4" s="20">
        <v>0</v>
      </c>
      <c r="CY4" s="20">
        <v>0</v>
      </c>
      <c r="CZ4" s="20"/>
    </row>
    <row r="5" spans="1:104">
      <c r="A5" s="27">
        <v>-25</v>
      </c>
      <c r="B5" s="27">
        <v>-20</v>
      </c>
      <c r="C5" s="21">
        <f t="shared" si="0"/>
        <v>-22.5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1</v>
      </c>
      <c r="K5" s="21">
        <v>0</v>
      </c>
      <c r="L5" s="21">
        <v>1</v>
      </c>
      <c r="M5" s="21">
        <v>6</v>
      </c>
      <c r="N5" s="21">
        <v>0</v>
      </c>
      <c r="O5" s="21">
        <v>0</v>
      </c>
      <c r="P5" s="21">
        <v>0</v>
      </c>
      <c r="Q5" s="21">
        <v>0</v>
      </c>
      <c r="R5" s="21">
        <v>0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D5" s="21">
        <v>0</v>
      </c>
      <c r="AE5" s="21">
        <v>0</v>
      </c>
      <c r="AF5" s="21">
        <v>0</v>
      </c>
      <c r="AG5" s="21">
        <v>0</v>
      </c>
      <c r="AH5" s="21">
        <v>0</v>
      </c>
      <c r="AI5" s="21">
        <v>0</v>
      </c>
      <c r="AJ5" s="21">
        <v>0</v>
      </c>
      <c r="AK5" s="21">
        <v>0</v>
      </c>
      <c r="AL5" s="21">
        <v>0</v>
      </c>
      <c r="AM5" s="165">
        <v>0</v>
      </c>
      <c r="AN5" s="166">
        <v>0</v>
      </c>
      <c r="AO5" s="167">
        <v>0</v>
      </c>
      <c r="AP5" s="168">
        <v>0</v>
      </c>
      <c r="AQ5" s="169">
        <v>0</v>
      </c>
      <c r="AR5" s="170">
        <v>0</v>
      </c>
      <c r="AS5" s="171">
        <v>0</v>
      </c>
      <c r="AT5" s="21">
        <v>0</v>
      </c>
      <c r="AU5" s="21">
        <v>0</v>
      </c>
      <c r="AV5" s="172">
        <v>12</v>
      </c>
      <c r="AW5" s="173">
        <v>5</v>
      </c>
      <c r="AX5" s="175">
        <v>14</v>
      </c>
      <c r="AY5" s="176">
        <v>0</v>
      </c>
      <c r="AZ5" s="177">
        <v>0</v>
      </c>
      <c r="BA5" s="178">
        <v>0</v>
      </c>
      <c r="BB5" s="179">
        <v>0</v>
      </c>
      <c r="BC5" s="180">
        <v>0</v>
      </c>
      <c r="BD5" s="181">
        <v>0</v>
      </c>
      <c r="BE5" s="182">
        <v>25</v>
      </c>
      <c r="BF5" s="183">
        <v>0</v>
      </c>
      <c r="BG5" s="184">
        <v>0</v>
      </c>
      <c r="BH5" s="21">
        <v>0</v>
      </c>
      <c r="BI5" s="21">
        <v>0</v>
      </c>
      <c r="BJ5" s="21">
        <v>0</v>
      </c>
      <c r="BK5" s="21">
        <v>0</v>
      </c>
      <c r="BL5" s="21">
        <v>0</v>
      </c>
      <c r="BM5" s="21">
        <v>0</v>
      </c>
      <c r="BN5" s="21">
        <v>0</v>
      </c>
      <c r="BO5" s="21">
        <v>0</v>
      </c>
      <c r="BP5" s="21">
        <v>0</v>
      </c>
      <c r="BQ5" s="21">
        <v>0</v>
      </c>
      <c r="BR5" s="21">
        <v>0</v>
      </c>
      <c r="BS5" s="21">
        <v>0</v>
      </c>
      <c r="BT5" s="21">
        <v>0</v>
      </c>
      <c r="BU5" s="21">
        <v>0</v>
      </c>
      <c r="BV5" s="21">
        <v>0</v>
      </c>
      <c r="BW5" s="21">
        <v>0</v>
      </c>
      <c r="BX5" s="21">
        <v>0</v>
      </c>
      <c r="BY5" s="21">
        <v>0</v>
      </c>
      <c r="BZ5" s="21">
        <v>0</v>
      </c>
      <c r="CA5" s="21">
        <v>0</v>
      </c>
      <c r="CB5" s="21">
        <v>0</v>
      </c>
      <c r="CC5" s="21">
        <v>0</v>
      </c>
      <c r="CD5" s="21">
        <v>0</v>
      </c>
      <c r="CE5" s="21">
        <v>0</v>
      </c>
      <c r="CF5" s="21">
        <v>0</v>
      </c>
      <c r="CG5" s="21">
        <v>0</v>
      </c>
      <c r="CH5" s="21">
        <v>0</v>
      </c>
      <c r="CI5" s="21">
        <v>0</v>
      </c>
      <c r="CJ5" s="21">
        <v>0</v>
      </c>
      <c r="CK5" s="21">
        <v>0</v>
      </c>
      <c r="CL5" s="21">
        <v>0</v>
      </c>
      <c r="CM5" s="21">
        <v>0</v>
      </c>
      <c r="CN5" s="21">
        <v>0</v>
      </c>
      <c r="CO5" s="21">
        <v>0</v>
      </c>
      <c r="CP5" s="21">
        <v>0</v>
      </c>
      <c r="CQ5" s="21">
        <v>0</v>
      </c>
      <c r="CR5" s="21">
        <v>0</v>
      </c>
      <c r="CS5" s="21">
        <v>0</v>
      </c>
      <c r="CT5" s="21">
        <v>0</v>
      </c>
      <c r="CU5" s="21">
        <v>0</v>
      </c>
      <c r="CV5" s="21">
        <v>0</v>
      </c>
      <c r="CW5" s="21">
        <v>0</v>
      </c>
      <c r="CX5" s="21">
        <v>0</v>
      </c>
      <c r="CY5" s="21">
        <v>0</v>
      </c>
      <c r="CZ5" s="21"/>
    </row>
    <row r="6" spans="1:104">
      <c r="A6" s="27">
        <v>-20</v>
      </c>
      <c r="B6" s="27">
        <v>-15</v>
      </c>
      <c r="C6" s="21">
        <f t="shared" si="0"/>
        <v>-17.5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3</v>
      </c>
      <c r="K6" s="21">
        <v>0</v>
      </c>
      <c r="L6" s="21">
        <v>2</v>
      </c>
      <c r="M6" s="21">
        <v>12</v>
      </c>
      <c r="N6" s="21">
        <v>0</v>
      </c>
      <c r="O6" s="21">
        <v>3</v>
      </c>
      <c r="P6" s="21">
        <v>3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8</v>
      </c>
      <c r="AD6" s="21">
        <v>0</v>
      </c>
      <c r="AE6" s="21">
        <v>0</v>
      </c>
      <c r="AF6" s="21">
        <v>0</v>
      </c>
      <c r="AG6" s="21">
        <v>0</v>
      </c>
      <c r="AH6" s="21">
        <v>0</v>
      </c>
      <c r="AI6" s="21">
        <v>0</v>
      </c>
      <c r="AJ6" s="21">
        <v>0</v>
      </c>
      <c r="AK6" s="21">
        <v>5</v>
      </c>
      <c r="AL6" s="21">
        <v>0</v>
      </c>
      <c r="AM6" s="165">
        <v>0</v>
      </c>
      <c r="AN6" s="166">
        <v>0</v>
      </c>
      <c r="AO6" s="167">
        <v>0</v>
      </c>
      <c r="AP6" s="168">
        <v>0</v>
      </c>
      <c r="AQ6" s="169">
        <v>0</v>
      </c>
      <c r="AR6" s="170">
        <v>0</v>
      </c>
      <c r="AS6" s="171">
        <v>0</v>
      </c>
      <c r="AT6" s="21">
        <v>0</v>
      </c>
      <c r="AU6" s="21">
        <v>0</v>
      </c>
      <c r="AV6" s="172">
        <v>38</v>
      </c>
      <c r="AW6" s="173">
        <v>11</v>
      </c>
      <c r="AX6" s="175">
        <v>27</v>
      </c>
      <c r="AY6" s="176">
        <v>0</v>
      </c>
      <c r="AZ6" s="177">
        <v>0</v>
      </c>
      <c r="BA6" s="178">
        <v>0</v>
      </c>
      <c r="BB6" s="179">
        <v>0</v>
      </c>
      <c r="BC6" s="180">
        <v>0</v>
      </c>
      <c r="BD6" s="181">
        <v>3</v>
      </c>
      <c r="BE6" s="182">
        <v>27</v>
      </c>
      <c r="BF6" s="183">
        <v>7</v>
      </c>
      <c r="BG6" s="184">
        <v>0</v>
      </c>
      <c r="BH6" s="21">
        <v>0</v>
      </c>
      <c r="BI6" s="21">
        <v>0</v>
      </c>
      <c r="BJ6" s="21">
        <v>0</v>
      </c>
      <c r="BK6" s="21">
        <v>0</v>
      </c>
      <c r="BL6" s="21">
        <v>0</v>
      </c>
      <c r="BM6" s="21">
        <v>0</v>
      </c>
      <c r="BN6" s="21">
        <v>0</v>
      </c>
      <c r="BO6" s="21">
        <v>0</v>
      </c>
      <c r="BP6" s="21">
        <v>0</v>
      </c>
      <c r="BQ6" s="21">
        <v>0</v>
      </c>
      <c r="BR6" s="21">
        <v>0</v>
      </c>
      <c r="BS6" s="21">
        <v>0</v>
      </c>
      <c r="BT6" s="21">
        <v>0</v>
      </c>
      <c r="BU6" s="21">
        <v>0</v>
      </c>
      <c r="BV6" s="21">
        <v>0</v>
      </c>
      <c r="BW6" s="21">
        <v>0</v>
      </c>
      <c r="BX6" s="21">
        <v>0</v>
      </c>
      <c r="BY6" s="21">
        <v>0</v>
      </c>
      <c r="BZ6" s="21">
        <v>0</v>
      </c>
      <c r="CA6" s="21">
        <v>0</v>
      </c>
      <c r="CB6" s="21">
        <v>0</v>
      </c>
      <c r="CC6" s="21">
        <v>0</v>
      </c>
      <c r="CD6" s="21">
        <v>0</v>
      </c>
      <c r="CE6" s="21">
        <v>0</v>
      </c>
      <c r="CF6" s="21">
        <v>14</v>
      </c>
      <c r="CG6" s="21">
        <v>0</v>
      </c>
      <c r="CH6" s="21">
        <v>0</v>
      </c>
      <c r="CI6" s="21">
        <v>0</v>
      </c>
      <c r="CJ6" s="21">
        <v>0</v>
      </c>
      <c r="CK6" s="21">
        <v>0</v>
      </c>
      <c r="CL6" s="21">
        <v>0</v>
      </c>
      <c r="CM6" s="21">
        <v>0</v>
      </c>
      <c r="CN6" s="21">
        <v>0</v>
      </c>
      <c r="CO6" s="21">
        <v>0</v>
      </c>
      <c r="CP6" s="21">
        <v>0</v>
      </c>
      <c r="CQ6" s="21">
        <v>0</v>
      </c>
      <c r="CR6" s="21">
        <v>0</v>
      </c>
      <c r="CS6" s="21">
        <v>0</v>
      </c>
      <c r="CT6" s="21">
        <v>0</v>
      </c>
      <c r="CU6" s="21">
        <v>0</v>
      </c>
      <c r="CV6" s="21">
        <v>0</v>
      </c>
      <c r="CW6" s="21">
        <v>0</v>
      </c>
      <c r="CX6" s="21">
        <v>0</v>
      </c>
      <c r="CY6" s="21">
        <v>0</v>
      </c>
      <c r="CZ6" s="21"/>
    </row>
    <row r="7" spans="1:104">
      <c r="A7" s="27">
        <v>-15</v>
      </c>
      <c r="B7" s="27">
        <v>-10</v>
      </c>
      <c r="C7" s="21">
        <f t="shared" si="0"/>
        <v>-12.5</v>
      </c>
      <c r="D7" s="21">
        <v>0</v>
      </c>
      <c r="E7" s="21">
        <v>0</v>
      </c>
      <c r="F7" s="21">
        <v>0</v>
      </c>
      <c r="G7" s="21">
        <v>4</v>
      </c>
      <c r="H7" s="21">
        <v>0</v>
      </c>
      <c r="I7" s="21">
        <v>0</v>
      </c>
      <c r="J7" s="21">
        <v>3</v>
      </c>
      <c r="K7" s="21">
        <v>3</v>
      </c>
      <c r="L7" s="21">
        <v>21</v>
      </c>
      <c r="M7" s="21">
        <v>20</v>
      </c>
      <c r="N7" s="21">
        <v>1</v>
      </c>
      <c r="O7" s="21">
        <v>32</v>
      </c>
      <c r="P7" s="21">
        <v>24</v>
      </c>
      <c r="Q7" s="21">
        <v>1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1">
        <v>1</v>
      </c>
      <c r="Y7" s="21">
        <v>0</v>
      </c>
      <c r="Z7" s="21">
        <v>0</v>
      </c>
      <c r="AA7" s="21">
        <v>0</v>
      </c>
      <c r="AB7" s="21">
        <v>0</v>
      </c>
      <c r="AC7" s="21">
        <v>17</v>
      </c>
      <c r="AD7" s="21">
        <v>0</v>
      </c>
      <c r="AE7" s="21">
        <v>0</v>
      </c>
      <c r="AF7" s="21">
        <v>0</v>
      </c>
      <c r="AG7" s="21">
        <v>0</v>
      </c>
      <c r="AH7" s="21">
        <v>0</v>
      </c>
      <c r="AI7" s="21">
        <v>0</v>
      </c>
      <c r="AJ7" s="21">
        <v>0</v>
      </c>
      <c r="AK7" s="21">
        <v>9</v>
      </c>
      <c r="AL7" s="21">
        <v>8</v>
      </c>
      <c r="AM7" s="165">
        <v>0</v>
      </c>
      <c r="AN7" s="166">
        <v>0</v>
      </c>
      <c r="AO7" s="167">
        <v>0</v>
      </c>
      <c r="AP7" s="168">
        <v>0</v>
      </c>
      <c r="AQ7" s="169">
        <v>0</v>
      </c>
      <c r="AR7" s="170">
        <v>0</v>
      </c>
      <c r="AS7" s="171">
        <v>8</v>
      </c>
      <c r="AT7" s="21">
        <v>0</v>
      </c>
      <c r="AU7" s="21">
        <v>0</v>
      </c>
      <c r="AV7" s="172">
        <v>92</v>
      </c>
      <c r="AW7" s="173">
        <v>34</v>
      </c>
      <c r="AX7" s="175">
        <v>47</v>
      </c>
      <c r="AY7" s="176">
        <v>4</v>
      </c>
      <c r="AZ7" s="177">
        <v>1</v>
      </c>
      <c r="BA7" s="178">
        <v>0</v>
      </c>
      <c r="BB7" s="179">
        <v>0</v>
      </c>
      <c r="BC7" s="180">
        <v>0</v>
      </c>
      <c r="BD7" s="181">
        <v>23</v>
      </c>
      <c r="BE7" s="182">
        <v>47</v>
      </c>
      <c r="BF7" s="183">
        <v>9</v>
      </c>
      <c r="BG7" s="184">
        <v>6</v>
      </c>
      <c r="BH7" s="21">
        <v>0</v>
      </c>
      <c r="BI7" s="21">
        <v>0</v>
      </c>
      <c r="BJ7" s="21">
        <v>0</v>
      </c>
      <c r="BK7" s="21">
        <v>0</v>
      </c>
      <c r="BL7" s="21">
        <v>0</v>
      </c>
      <c r="BM7" s="21">
        <v>0</v>
      </c>
      <c r="BN7" s="21">
        <v>0</v>
      </c>
      <c r="BO7" s="21">
        <v>0</v>
      </c>
      <c r="BP7" s="21">
        <v>0</v>
      </c>
      <c r="BQ7" s="21">
        <v>0</v>
      </c>
      <c r="BR7" s="21">
        <v>0</v>
      </c>
      <c r="BS7" s="21">
        <v>0</v>
      </c>
      <c r="BT7" s="21">
        <v>0</v>
      </c>
      <c r="BU7" s="21">
        <v>0</v>
      </c>
      <c r="BV7" s="21">
        <v>0</v>
      </c>
      <c r="BW7" s="21">
        <v>0</v>
      </c>
      <c r="BX7" s="21">
        <v>0</v>
      </c>
      <c r="BY7" s="21">
        <v>0</v>
      </c>
      <c r="BZ7" s="21">
        <v>0</v>
      </c>
      <c r="CA7" s="21">
        <v>0</v>
      </c>
      <c r="CB7" s="21">
        <v>0</v>
      </c>
      <c r="CC7" s="21">
        <v>0</v>
      </c>
      <c r="CD7" s="21">
        <v>0</v>
      </c>
      <c r="CE7" s="21">
        <v>0</v>
      </c>
      <c r="CF7" s="21">
        <v>32</v>
      </c>
      <c r="CG7" s="21">
        <v>0</v>
      </c>
      <c r="CH7" s="21">
        <v>0</v>
      </c>
      <c r="CI7" s="21">
        <v>2</v>
      </c>
      <c r="CJ7" s="21">
        <v>0</v>
      </c>
      <c r="CK7" s="21">
        <v>0</v>
      </c>
      <c r="CL7" s="21">
        <v>0</v>
      </c>
      <c r="CM7" s="21">
        <v>2</v>
      </c>
      <c r="CN7" s="21">
        <v>0</v>
      </c>
      <c r="CO7" s="21">
        <v>0</v>
      </c>
      <c r="CP7" s="21">
        <v>0</v>
      </c>
      <c r="CQ7" s="21">
        <v>0</v>
      </c>
      <c r="CR7" s="21">
        <v>0</v>
      </c>
      <c r="CS7" s="21">
        <v>0</v>
      </c>
      <c r="CT7" s="21">
        <v>0</v>
      </c>
      <c r="CU7" s="21">
        <v>0</v>
      </c>
      <c r="CV7" s="21">
        <v>0</v>
      </c>
      <c r="CW7" s="21">
        <v>0</v>
      </c>
      <c r="CX7" s="21">
        <v>0</v>
      </c>
      <c r="CY7" s="21">
        <v>0</v>
      </c>
      <c r="CZ7" s="21"/>
    </row>
    <row r="8" spans="1:104">
      <c r="A8" s="21">
        <v>-10</v>
      </c>
      <c r="B8" s="21">
        <v>-5</v>
      </c>
      <c r="C8" s="21">
        <f>(A8+B8)/2</f>
        <v>-7.5</v>
      </c>
      <c r="D8" s="21">
        <v>0</v>
      </c>
      <c r="E8" s="21">
        <v>0</v>
      </c>
      <c r="F8" s="21">
        <v>0</v>
      </c>
      <c r="G8" s="21">
        <v>8</v>
      </c>
      <c r="H8" s="21">
        <v>0</v>
      </c>
      <c r="I8" s="21">
        <v>0</v>
      </c>
      <c r="J8" s="21">
        <v>29</v>
      </c>
      <c r="K8" s="21">
        <v>9</v>
      </c>
      <c r="L8" s="21">
        <v>36</v>
      </c>
      <c r="M8" s="21">
        <v>165</v>
      </c>
      <c r="N8" s="21">
        <v>9</v>
      </c>
      <c r="O8" s="21">
        <v>87</v>
      </c>
      <c r="P8" s="21">
        <v>62</v>
      </c>
      <c r="Q8" s="21">
        <v>9</v>
      </c>
      <c r="R8" s="21">
        <v>0</v>
      </c>
      <c r="S8" s="21">
        <v>0</v>
      </c>
      <c r="T8" s="21">
        <v>0</v>
      </c>
      <c r="U8" s="21">
        <v>0</v>
      </c>
      <c r="V8" s="21">
        <v>6</v>
      </c>
      <c r="W8" s="21">
        <v>0</v>
      </c>
      <c r="X8" s="21">
        <v>28</v>
      </c>
      <c r="Y8" s="21">
        <v>0</v>
      </c>
      <c r="Z8" s="21">
        <v>0</v>
      </c>
      <c r="AA8" s="21">
        <v>3</v>
      </c>
      <c r="AB8" s="21">
        <v>2</v>
      </c>
      <c r="AC8" s="21">
        <v>31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38</v>
      </c>
      <c r="AL8" s="21">
        <v>106</v>
      </c>
      <c r="AM8" s="165">
        <v>3</v>
      </c>
      <c r="AN8" s="166">
        <v>0</v>
      </c>
      <c r="AO8" s="167">
        <v>36</v>
      </c>
      <c r="AP8" s="168">
        <v>25</v>
      </c>
      <c r="AQ8" s="169">
        <v>13</v>
      </c>
      <c r="AR8" s="170">
        <v>0</v>
      </c>
      <c r="AS8" s="171">
        <v>14</v>
      </c>
      <c r="AT8" s="21">
        <v>8</v>
      </c>
      <c r="AU8" s="21">
        <v>8</v>
      </c>
      <c r="AV8" s="172">
        <v>152</v>
      </c>
      <c r="AW8" s="173">
        <v>104</v>
      </c>
      <c r="AX8" s="175">
        <v>190</v>
      </c>
      <c r="AY8" s="176">
        <v>8</v>
      </c>
      <c r="AZ8" s="177">
        <v>13</v>
      </c>
      <c r="BA8" s="178">
        <v>0</v>
      </c>
      <c r="BB8" s="179">
        <v>3</v>
      </c>
      <c r="BC8" s="180">
        <v>0</v>
      </c>
      <c r="BD8" s="181">
        <v>86</v>
      </c>
      <c r="BE8" s="182">
        <v>106</v>
      </c>
      <c r="BF8" s="183">
        <v>83</v>
      </c>
      <c r="BG8" s="184">
        <v>57</v>
      </c>
      <c r="BH8" s="21">
        <v>10</v>
      </c>
      <c r="BI8" s="21">
        <v>7</v>
      </c>
      <c r="BJ8" s="21">
        <v>19</v>
      </c>
      <c r="BK8" s="21">
        <v>0</v>
      </c>
      <c r="BL8" s="21">
        <v>0</v>
      </c>
      <c r="BM8" s="21">
        <v>0</v>
      </c>
      <c r="BN8" s="21">
        <v>0</v>
      </c>
      <c r="BO8" s="21">
        <v>0</v>
      </c>
      <c r="BP8" s="21">
        <v>0</v>
      </c>
      <c r="BQ8" s="21">
        <v>0</v>
      </c>
      <c r="BR8" s="21">
        <v>0</v>
      </c>
      <c r="BS8" s="21">
        <v>0</v>
      </c>
      <c r="BT8" s="21">
        <v>0</v>
      </c>
      <c r="BU8" s="21">
        <v>0</v>
      </c>
      <c r="BV8" s="21">
        <v>0</v>
      </c>
      <c r="BW8" s="21">
        <v>0</v>
      </c>
      <c r="BX8" s="21">
        <v>0</v>
      </c>
      <c r="BY8" s="21">
        <v>0</v>
      </c>
      <c r="BZ8" s="21">
        <v>0</v>
      </c>
      <c r="CA8" s="21">
        <v>0</v>
      </c>
      <c r="CB8" s="21">
        <v>0</v>
      </c>
      <c r="CC8" s="21">
        <v>0</v>
      </c>
      <c r="CD8" s="21">
        <v>0</v>
      </c>
      <c r="CE8" s="21">
        <v>0</v>
      </c>
      <c r="CF8" s="21">
        <v>80</v>
      </c>
      <c r="CG8" s="21">
        <v>0</v>
      </c>
      <c r="CH8" s="21">
        <v>0</v>
      </c>
      <c r="CI8" s="21">
        <v>17</v>
      </c>
      <c r="CJ8" s="21">
        <v>46</v>
      </c>
      <c r="CK8" s="21">
        <v>0</v>
      </c>
      <c r="CL8" s="21">
        <v>10</v>
      </c>
      <c r="CM8" s="21">
        <v>24</v>
      </c>
      <c r="CN8" s="21">
        <v>0</v>
      </c>
      <c r="CO8" s="21">
        <v>0</v>
      </c>
      <c r="CP8" s="21">
        <v>3</v>
      </c>
      <c r="CQ8" s="21">
        <v>0</v>
      </c>
      <c r="CR8" s="21">
        <v>0</v>
      </c>
      <c r="CS8" s="21">
        <v>0</v>
      </c>
      <c r="CT8" s="21">
        <v>0</v>
      </c>
      <c r="CU8" s="21">
        <v>0</v>
      </c>
      <c r="CV8" s="21">
        <v>0</v>
      </c>
      <c r="CW8" s="21">
        <v>0</v>
      </c>
      <c r="CX8" s="21">
        <v>0</v>
      </c>
      <c r="CY8" s="21">
        <v>0</v>
      </c>
      <c r="CZ8" s="21"/>
    </row>
    <row r="9" spans="1:104">
      <c r="A9" s="21">
        <v>-5</v>
      </c>
      <c r="B9" s="21">
        <v>0</v>
      </c>
      <c r="C9" s="21">
        <f t="shared" ref="C9:C33" si="1">(A9+B9)/2</f>
        <v>-2.5</v>
      </c>
      <c r="D9" s="21">
        <v>0</v>
      </c>
      <c r="E9" s="21">
        <v>0</v>
      </c>
      <c r="F9" s="21">
        <v>0</v>
      </c>
      <c r="G9" s="21">
        <v>6</v>
      </c>
      <c r="H9" s="21">
        <v>2</v>
      </c>
      <c r="I9" s="21">
        <v>10</v>
      </c>
      <c r="J9" s="21">
        <v>62</v>
      </c>
      <c r="K9" s="21">
        <v>16</v>
      </c>
      <c r="L9" s="21">
        <v>70</v>
      </c>
      <c r="M9" s="21">
        <v>200</v>
      </c>
      <c r="N9" s="21">
        <v>45</v>
      </c>
      <c r="O9" s="21">
        <v>96</v>
      </c>
      <c r="P9" s="21">
        <v>102</v>
      </c>
      <c r="Q9" s="21">
        <v>36</v>
      </c>
      <c r="R9" s="21">
        <v>0</v>
      </c>
      <c r="S9" s="21">
        <v>4</v>
      </c>
      <c r="T9" s="21">
        <v>0</v>
      </c>
      <c r="U9" s="21">
        <v>15</v>
      </c>
      <c r="V9" s="21">
        <v>19</v>
      </c>
      <c r="W9" s="21">
        <v>1</v>
      </c>
      <c r="X9" s="21">
        <v>39</v>
      </c>
      <c r="Y9" s="21">
        <v>0</v>
      </c>
      <c r="Z9" s="21">
        <v>0</v>
      </c>
      <c r="AA9" s="21">
        <v>10</v>
      </c>
      <c r="AB9" s="21">
        <v>18</v>
      </c>
      <c r="AC9" s="21">
        <v>40</v>
      </c>
      <c r="AD9" s="21">
        <v>0</v>
      </c>
      <c r="AE9" s="21">
        <v>0</v>
      </c>
      <c r="AF9" s="21">
        <v>0</v>
      </c>
      <c r="AG9" s="21">
        <v>7</v>
      </c>
      <c r="AH9" s="21">
        <v>0</v>
      </c>
      <c r="AI9" s="21">
        <v>11</v>
      </c>
      <c r="AJ9" s="21">
        <v>0</v>
      </c>
      <c r="AK9" s="21">
        <v>60</v>
      </c>
      <c r="AL9" s="21">
        <v>78</v>
      </c>
      <c r="AM9" s="165">
        <v>7</v>
      </c>
      <c r="AN9" s="166">
        <v>0</v>
      </c>
      <c r="AO9" s="167">
        <v>59</v>
      </c>
      <c r="AP9" s="168">
        <v>54</v>
      </c>
      <c r="AQ9" s="169">
        <v>44</v>
      </c>
      <c r="AR9" s="170">
        <v>26</v>
      </c>
      <c r="AS9" s="171">
        <v>38</v>
      </c>
      <c r="AT9" s="21">
        <v>65</v>
      </c>
      <c r="AU9" s="21">
        <v>19</v>
      </c>
      <c r="AV9" s="172">
        <v>169</v>
      </c>
      <c r="AW9" s="173">
        <v>123</v>
      </c>
      <c r="AX9" s="175">
        <v>189</v>
      </c>
      <c r="AY9" s="176">
        <v>29</v>
      </c>
      <c r="AZ9" s="177">
        <v>54</v>
      </c>
      <c r="BA9" s="178">
        <v>0</v>
      </c>
      <c r="BB9" s="179">
        <v>21</v>
      </c>
      <c r="BC9" s="180">
        <v>23</v>
      </c>
      <c r="BD9" s="181">
        <v>81</v>
      </c>
      <c r="BE9" s="182">
        <v>158</v>
      </c>
      <c r="BF9" s="183">
        <v>81</v>
      </c>
      <c r="BG9" s="184">
        <v>61</v>
      </c>
      <c r="BH9" s="21">
        <v>9</v>
      </c>
      <c r="BI9" s="21">
        <v>56</v>
      </c>
      <c r="BJ9" s="21">
        <v>60</v>
      </c>
      <c r="BK9" s="21">
        <v>0</v>
      </c>
      <c r="BL9" s="21">
        <v>0</v>
      </c>
      <c r="BM9" s="21">
        <v>0</v>
      </c>
      <c r="BN9" s="21">
        <v>0</v>
      </c>
      <c r="BO9" s="21">
        <v>0</v>
      </c>
      <c r="BP9" s="21">
        <v>5</v>
      </c>
      <c r="BQ9" s="21">
        <v>0</v>
      </c>
      <c r="BR9" s="21">
        <v>0</v>
      </c>
      <c r="BS9" s="21">
        <v>0</v>
      </c>
      <c r="BT9" s="21">
        <v>0</v>
      </c>
      <c r="BU9" s="21">
        <v>0</v>
      </c>
      <c r="BV9" s="21">
        <v>0</v>
      </c>
      <c r="BW9" s="21">
        <v>0</v>
      </c>
      <c r="BX9" s="21">
        <v>0</v>
      </c>
      <c r="BY9" s="21">
        <v>0</v>
      </c>
      <c r="BZ9" s="21">
        <v>5</v>
      </c>
      <c r="CA9" s="21">
        <v>0</v>
      </c>
      <c r="CB9" s="21">
        <v>0</v>
      </c>
      <c r="CC9" s="21">
        <v>0</v>
      </c>
      <c r="CD9" s="21">
        <v>4</v>
      </c>
      <c r="CE9" s="21">
        <v>3</v>
      </c>
      <c r="CF9" s="21">
        <v>92</v>
      </c>
      <c r="CG9" s="21">
        <v>0</v>
      </c>
      <c r="CH9" s="21">
        <v>0</v>
      </c>
      <c r="CI9" s="21">
        <v>24</v>
      </c>
      <c r="CJ9" s="21">
        <v>114</v>
      </c>
      <c r="CK9" s="21">
        <v>0</v>
      </c>
      <c r="CL9" s="21">
        <v>21</v>
      </c>
      <c r="CM9" s="21">
        <v>29</v>
      </c>
      <c r="CN9" s="21">
        <v>1</v>
      </c>
      <c r="CO9" s="21">
        <v>0</v>
      </c>
      <c r="CP9" s="21">
        <v>7</v>
      </c>
      <c r="CQ9" s="21">
        <v>0</v>
      </c>
      <c r="CR9" s="21">
        <v>0</v>
      </c>
      <c r="CS9" s="21">
        <v>0</v>
      </c>
      <c r="CT9" s="21">
        <v>0</v>
      </c>
      <c r="CU9" s="21">
        <v>0</v>
      </c>
      <c r="CV9" s="21">
        <v>0</v>
      </c>
      <c r="CW9" s="21">
        <v>0</v>
      </c>
      <c r="CX9" s="21">
        <v>0</v>
      </c>
      <c r="CY9" s="21">
        <v>0</v>
      </c>
      <c r="CZ9" s="21"/>
    </row>
    <row r="10" spans="1:104">
      <c r="A10" s="21">
        <v>0</v>
      </c>
      <c r="B10" s="21">
        <v>5</v>
      </c>
      <c r="C10" s="21">
        <f t="shared" si="1"/>
        <v>2.5</v>
      </c>
      <c r="D10" s="21">
        <v>14</v>
      </c>
      <c r="E10" s="21">
        <v>9</v>
      </c>
      <c r="F10" s="21">
        <v>8</v>
      </c>
      <c r="G10" s="21">
        <v>9</v>
      </c>
      <c r="H10" s="21">
        <v>3</v>
      </c>
      <c r="I10" s="21">
        <v>9</v>
      </c>
      <c r="J10" s="21">
        <v>113</v>
      </c>
      <c r="K10" s="21">
        <v>66</v>
      </c>
      <c r="L10" s="21">
        <v>111</v>
      </c>
      <c r="M10" s="21">
        <v>306</v>
      </c>
      <c r="N10" s="21">
        <v>79</v>
      </c>
      <c r="O10" s="21">
        <v>156</v>
      </c>
      <c r="P10" s="21">
        <v>126</v>
      </c>
      <c r="Q10" s="21">
        <v>93</v>
      </c>
      <c r="R10" s="21">
        <v>0</v>
      </c>
      <c r="S10" s="21">
        <v>14</v>
      </c>
      <c r="T10" s="21">
        <v>14</v>
      </c>
      <c r="U10" s="21">
        <v>50</v>
      </c>
      <c r="V10" s="21">
        <v>50</v>
      </c>
      <c r="W10" s="21">
        <v>31</v>
      </c>
      <c r="X10" s="21">
        <v>54</v>
      </c>
      <c r="Y10" s="21">
        <v>0</v>
      </c>
      <c r="Z10" s="21">
        <v>7</v>
      </c>
      <c r="AA10" s="21">
        <v>34</v>
      </c>
      <c r="AB10" s="21">
        <v>27</v>
      </c>
      <c r="AC10" s="21">
        <v>113</v>
      </c>
      <c r="AD10" s="21">
        <v>21</v>
      </c>
      <c r="AE10" s="21">
        <v>1</v>
      </c>
      <c r="AF10" s="21">
        <v>0</v>
      </c>
      <c r="AG10" s="21">
        <v>44</v>
      </c>
      <c r="AH10" s="21">
        <v>24</v>
      </c>
      <c r="AI10" s="21">
        <v>48</v>
      </c>
      <c r="AJ10" s="21">
        <v>1</v>
      </c>
      <c r="AK10" s="21">
        <v>133</v>
      </c>
      <c r="AL10" s="21">
        <v>109</v>
      </c>
      <c r="AM10" s="165">
        <v>11</v>
      </c>
      <c r="AN10" s="166">
        <v>10</v>
      </c>
      <c r="AO10" s="167">
        <v>142</v>
      </c>
      <c r="AP10" s="168">
        <v>84</v>
      </c>
      <c r="AQ10" s="169">
        <v>65</v>
      </c>
      <c r="AR10" s="170">
        <v>43</v>
      </c>
      <c r="AS10" s="171">
        <v>62</v>
      </c>
      <c r="AT10" s="21">
        <v>131</v>
      </c>
      <c r="AU10" s="21">
        <v>74</v>
      </c>
      <c r="AV10" s="172">
        <v>213</v>
      </c>
      <c r="AW10" s="173">
        <v>110</v>
      </c>
      <c r="AX10" s="175">
        <v>206</v>
      </c>
      <c r="AY10" s="176">
        <v>90</v>
      </c>
      <c r="AZ10" s="177">
        <v>76</v>
      </c>
      <c r="BA10" s="178">
        <v>20</v>
      </c>
      <c r="BB10" s="179">
        <v>26</v>
      </c>
      <c r="BC10" s="180">
        <v>68</v>
      </c>
      <c r="BD10" s="181">
        <v>104</v>
      </c>
      <c r="BE10" s="182">
        <v>148</v>
      </c>
      <c r="BF10" s="183">
        <v>111</v>
      </c>
      <c r="BG10" s="184">
        <v>116</v>
      </c>
      <c r="BH10" s="21">
        <v>9</v>
      </c>
      <c r="BI10" s="21">
        <v>118</v>
      </c>
      <c r="BJ10" s="21">
        <v>89</v>
      </c>
      <c r="BK10" s="21">
        <v>0</v>
      </c>
      <c r="BL10" s="21">
        <v>0</v>
      </c>
      <c r="BM10" s="21">
        <v>0</v>
      </c>
      <c r="BN10" s="21">
        <v>0</v>
      </c>
      <c r="BO10" s="21">
        <v>13</v>
      </c>
      <c r="BP10" s="21">
        <v>6</v>
      </c>
      <c r="BQ10" s="21">
        <v>0</v>
      </c>
      <c r="BR10" s="21">
        <v>0</v>
      </c>
      <c r="BS10" s="21">
        <v>0</v>
      </c>
      <c r="BT10" s="21">
        <v>0</v>
      </c>
      <c r="BU10" s="21">
        <v>0</v>
      </c>
      <c r="BV10" s="21">
        <v>0</v>
      </c>
      <c r="BW10" s="21">
        <v>0</v>
      </c>
      <c r="BX10" s="21">
        <v>0</v>
      </c>
      <c r="BY10" s="21">
        <v>0</v>
      </c>
      <c r="BZ10" s="21">
        <v>13</v>
      </c>
      <c r="CA10" s="21">
        <v>0</v>
      </c>
      <c r="CB10" s="21">
        <v>0</v>
      </c>
      <c r="CC10" s="21">
        <v>0</v>
      </c>
      <c r="CD10" s="21">
        <v>49</v>
      </c>
      <c r="CE10" s="21">
        <v>22</v>
      </c>
      <c r="CF10" s="21">
        <v>109</v>
      </c>
      <c r="CG10" s="21">
        <v>0</v>
      </c>
      <c r="CH10" s="21">
        <v>10</v>
      </c>
      <c r="CI10" s="21">
        <v>60</v>
      </c>
      <c r="CJ10" s="21">
        <v>124</v>
      </c>
      <c r="CK10" s="21">
        <v>7</v>
      </c>
      <c r="CL10" s="21">
        <v>36</v>
      </c>
      <c r="CM10" s="21">
        <v>40</v>
      </c>
      <c r="CN10" s="21">
        <v>18</v>
      </c>
      <c r="CO10" s="21">
        <v>4</v>
      </c>
      <c r="CP10" s="21">
        <v>36</v>
      </c>
      <c r="CQ10" s="21">
        <v>11</v>
      </c>
      <c r="CR10" s="21">
        <v>0</v>
      </c>
      <c r="CS10" s="21">
        <v>2</v>
      </c>
      <c r="CT10" s="21">
        <v>2</v>
      </c>
      <c r="CU10" s="21">
        <v>0</v>
      </c>
      <c r="CV10" s="21">
        <v>0</v>
      </c>
      <c r="CW10" s="21">
        <v>0</v>
      </c>
      <c r="CX10" s="21">
        <v>1</v>
      </c>
      <c r="CY10" s="21">
        <v>0</v>
      </c>
      <c r="CZ10" s="21"/>
    </row>
    <row r="11" spans="1:104">
      <c r="A11" s="21">
        <v>5</v>
      </c>
      <c r="B11" s="21">
        <v>10</v>
      </c>
      <c r="C11" s="21">
        <f t="shared" si="1"/>
        <v>7.5</v>
      </c>
      <c r="D11" s="21">
        <v>24</v>
      </c>
      <c r="E11" s="21">
        <v>21</v>
      </c>
      <c r="F11" s="21">
        <v>23</v>
      </c>
      <c r="G11" s="21">
        <v>38</v>
      </c>
      <c r="H11" s="21">
        <v>12</v>
      </c>
      <c r="I11" s="21">
        <v>27</v>
      </c>
      <c r="J11" s="21">
        <v>111</v>
      </c>
      <c r="K11" s="21">
        <v>115</v>
      </c>
      <c r="L11" s="21">
        <v>135</v>
      </c>
      <c r="M11" s="21">
        <v>264</v>
      </c>
      <c r="N11" s="21">
        <v>113</v>
      </c>
      <c r="O11" s="21">
        <v>208</v>
      </c>
      <c r="P11" s="21">
        <v>179</v>
      </c>
      <c r="Q11" s="21">
        <v>96</v>
      </c>
      <c r="R11" s="21">
        <v>0</v>
      </c>
      <c r="S11" s="21">
        <v>23</v>
      </c>
      <c r="T11" s="21">
        <v>42</v>
      </c>
      <c r="U11" s="21">
        <v>113</v>
      </c>
      <c r="V11" s="21">
        <v>113</v>
      </c>
      <c r="W11" s="21">
        <v>64</v>
      </c>
      <c r="X11" s="21">
        <v>76</v>
      </c>
      <c r="Y11" s="21">
        <v>31</v>
      </c>
      <c r="Z11" s="21">
        <v>18</v>
      </c>
      <c r="AA11" s="21">
        <v>112</v>
      </c>
      <c r="AB11" s="21">
        <v>62</v>
      </c>
      <c r="AC11" s="21">
        <v>86</v>
      </c>
      <c r="AD11" s="21">
        <v>38</v>
      </c>
      <c r="AE11" s="21">
        <v>14</v>
      </c>
      <c r="AF11" s="21">
        <v>15</v>
      </c>
      <c r="AG11" s="21">
        <v>104</v>
      </c>
      <c r="AH11" s="21">
        <v>37</v>
      </c>
      <c r="AI11" s="21">
        <v>83</v>
      </c>
      <c r="AJ11" s="21">
        <v>24</v>
      </c>
      <c r="AK11" s="21">
        <v>113</v>
      </c>
      <c r="AL11" s="21">
        <v>161</v>
      </c>
      <c r="AM11" s="165">
        <v>46</v>
      </c>
      <c r="AN11" s="166">
        <v>14</v>
      </c>
      <c r="AO11" s="167">
        <v>148</v>
      </c>
      <c r="AP11" s="168">
        <v>92</v>
      </c>
      <c r="AQ11" s="169">
        <v>71</v>
      </c>
      <c r="AR11" s="170">
        <v>88</v>
      </c>
      <c r="AS11" s="171">
        <v>127</v>
      </c>
      <c r="AT11" s="21">
        <v>175</v>
      </c>
      <c r="AU11" s="21">
        <v>152</v>
      </c>
      <c r="AV11" s="172">
        <v>300</v>
      </c>
      <c r="AW11" s="173">
        <v>132</v>
      </c>
      <c r="AX11" s="175">
        <v>235</v>
      </c>
      <c r="AY11" s="176">
        <v>91</v>
      </c>
      <c r="AZ11" s="177">
        <v>115</v>
      </c>
      <c r="BA11" s="178">
        <v>39</v>
      </c>
      <c r="BB11" s="179">
        <v>61</v>
      </c>
      <c r="BC11" s="180">
        <v>83</v>
      </c>
      <c r="BD11" s="181">
        <v>109</v>
      </c>
      <c r="BE11" s="182">
        <v>152</v>
      </c>
      <c r="BF11" s="183">
        <v>157</v>
      </c>
      <c r="BG11" s="184">
        <v>97</v>
      </c>
      <c r="BH11" s="21">
        <v>32</v>
      </c>
      <c r="BI11" s="21">
        <v>126</v>
      </c>
      <c r="BJ11" s="21">
        <v>112</v>
      </c>
      <c r="BK11" s="21">
        <v>0</v>
      </c>
      <c r="BL11" s="21">
        <v>1</v>
      </c>
      <c r="BM11" s="21">
        <v>0</v>
      </c>
      <c r="BN11" s="21">
        <v>0</v>
      </c>
      <c r="BO11" s="21">
        <v>23</v>
      </c>
      <c r="BP11" s="21">
        <v>14</v>
      </c>
      <c r="BQ11" s="21">
        <v>0</v>
      </c>
      <c r="BR11" s="21">
        <v>0</v>
      </c>
      <c r="BS11" s="21">
        <v>0</v>
      </c>
      <c r="BT11" s="21">
        <v>0</v>
      </c>
      <c r="BU11" s="21">
        <v>0</v>
      </c>
      <c r="BV11" s="21">
        <v>0</v>
      </c>
      <c r="BW11" s="21">
        <v>0</v>
      </c>
      <c r="BX11" s="21">
        <v>0</v>
      </c>
      <c r="BY11" s="21">
        <v>0</v>
      </c>
      <c r="BZ11" s="21">
        <v>30</v>
      </c>
      <c r="CA11" s="21">
        <v>0</v>
      </c>
      <c r="CB11" s="21">
        <v>0</v>
      </c>
      <c r="CC11" s="21">
        <v>0</v>
      </c>
      <c r="CD11" s="21">
        <v>66</v>
      </c>
      <c r="CE11" s="21">
        <v>32</v>
      </c>
      <c r="CF11" s="21">
        <v>112</v>
      </c>
      <c r="CG11" s="21">
        <v>8</v>
      </c>
      <c r="CH11" s="21">
        <v>21</v>
      </c>
      <c r="CI11" s="21">
        <v>83</v>
      </c>
      <c r="CJ11" s="21">
        <v>87</v>
      </c>
      <c r="CK11" s="21">
        <v>65</v>
      </c>
      <c r="CL11" s="21">
        <v>15</v>
      </c>
      <c r="CM11" s="21">
        <v>73</v>
      </c>
      <c r="CN11" s="21">
        <v>39</v>
      </c>
      <c r="CO11" s="21">
        <v>20</v>
      </c>
      <c r="CP11" s="21">
        <v>58</v>
      </c>
      <c r="CQ11" s="21">
        <v>16</v>
      </c>
      <c r="CR11" s="21">
        <v>0</v>
      </c>
      <c r="CS11" s="21">
        <v>6</v>
      </c>
      <c r="CT11" s="21">
        <v>3</v>
      </c>
      <c r="CU11" s="21">
        <v>0</v>
      </c>
      <c r="CV11" s="21">
        <v>0</v>
      </c>
      <c r="CW11" s="21">
        <v>0</v>
      </c>
      <c r="CX11" s="21">
        <v>4</v>
      </c>
      <c r="CY11" s="21">
        <v>0</v>
      </c>
      <c r="CZ11" s="21"/>
    </row>
    <row r="12" spans="1:104">
      <c r="A12" s="21">
        <v>10</v>
      </c>
      <c r="B12" s="21">
        <v>15</v>
      </c>
      <c r="C12" s="21">
        <f t="shared" si="1"/>
        <v>12.5</v>
      </c>
      <c r="D12" s="21">
        <v>75</v>
      </c>
      <c r="E12" s="21">
        <v>80</v>
      </c>
      <c r="F12" s="21">
        <v>113</v>
      </c>
      <c r="G12" s="21">
        <v>67</v>
      </c>
      <c r="H12" s="21">
        <v>48</v>
      </c>
      <c r="I12" s="21">
        <v>77</v>
      </c>
      <c r="J12" s="21">
        <v>215</v>
      </c>
      <c r="K12" s="21">
        <v>263</v>
      </c>
      <c r="L12" s="21">
        <v>225</v>
      </c>
      <c r="M12" s="21">
        <v>453</v>
      </c>
      <c r="N12" s="21">
        <v>212</v>
      </c>
      <c r="O12" s="21">
        <v>287</v>
      </c>
      <c r="P12" s="21">
        <v>205</v>
      </c>
      <c r="Q12" s="21">
        <v>123</v>
      </c>
      <c r="R12" s="21">
        <v>25</v>
      </c>
      <c r="S12" s="21">
        <v>76</v>
      </c>
      <c r="T12" s="21">
        <v>127</v>
      </c>
      <c r="U12" s="21">
        <v>206</v>
      </c>
      <c r="V12" s="21">
        <v>185</v>
      </c>
      <c r="W12" s="21">
        <v>220</v>
      </c>
      <c r="X12" s="21">
        <v>142</v>
      </c>
      <c r="Y12" s="21">
        <v>66</v>
      </c>
      <c r="Z12" s="21">
        <v>38</v>
      </c>
      <c r="AA12" s="21">
        <v>228</v>
      </c>
      <c r="AB12" s="21">
        <v>164</v>
      </c>
      <c r="AC12" s="21">
        <v>188</v>
      </c>
      <c r="AD12" s="21">
        <v>96</v>
      </c>
      <c r="AE12" s="21">
        <v>89</v>
      </c>
      <c r="AF12" s="21">
        <v>45</v>
      </c>
      <c r="AG12" s="21">
        <v>166</v>
      </c>
      <c r="AH12" s="21">
        <v>111</v>
      </c>
      <c r="AI12" s="21">
        <v>174</v>
      </c>
      <c r="AJ12" s="21">
        <v>96</v>
      </c>
      <c r="AK12" s="21">
        <v>206</v>
      </c>
      <c r="AL12" s="21">
        <v>273</v>
      </c>
      <c r="AM12" s="165">
        <v>79</v>
      </c>
      <c r="AN12" s="166">
        <v>73</v>
      </c>
      <c r="AO12" s="167">
        <v>231</v>
      </c>
      <c r="AP12" s="168">
        <v>157</v>
      </c>
      <c r="AQ12" s="169">
        <v>174</v>
      </c>
      <c r="AR12" s="170">
        <v>171</v>
      </c>
      <c r="AS12" s="171">
        <v>221</v>
      </c>
      <c r="AT12" s="21">
        <v>275</v>
      </c>
      <c r="AU12" s="21">
        <v>289</v>
      </c>
      <c r="AV12" s="172">
        <v>402</v>
      </c>
      <c r="AW12" s="173">
        <v>214</v>
      </c>
      <c r="AX12" s="175">
        <v>276</v>
      </c>
      <c r="AY12" s="176">
        <v>209</v>
      </c>
      <c r="AZ12" s="177">
        <v>139</v>
      </c>
      <c r="BA12" s="178">
        <v>72</v>
      </c>
      <c r="BB12" s="179">
        <v>155</v>
      </c>
      <c r="BC12" s="180">
        <v>127</v>
      </c>
      <c r="BD12" s="181">
        <v>196</v>
      </c>
      <c r="BE12" s="182">
        <v>289</v>
      </c>
      <c r="BF12" s="183">
        <v>265</v>
      </c>
      <c r="BG12" s="184">
        <v>228</v>
      </c>
      <c r="BH12" s="21">
        <v>86</v>
      </c>
      <c r="BI12" s="21">
        <v>157</v>
      </c>
      <c r="BJ12" s="21">
        <v>166</v>
      </c>
      <c r="BK12" s="21">
        <v>0</v>
      </c>
      <c r="BL12" s="21">
        <v>8</v>
      </c>
      <c r="BM12" s="21">
        <v>31</v>
      </c>
      <c r="BN12" s="21">
        <v>0</v>
      </c>
      <c r="BO12" s="21">
        <v>65</v>
      </c>
      <c r="BP12" s="21">
        <v>59</v>
      </c>
      <c r="BQ12" s="21">
        <v>0</v>
      </c>
      <c r="BR12" s="21">
        <v>0</v>
      </c>
      <c r="BS12" s="21">
        <v>0</v>
      </c>
      <c r="BT12" s="21">
        <v>0</v>
      </c>
      <c r="BU12" s="21">
        <v>0</v>
      </c>
      <c r="BV12" s="21">
        <v>0</v>
      </c>
      <c r="BW12" s="21">
        <v>0</v>
      </c>
      <c r="BX12" s="21">
        <v>0</v>
      </c>
      <c r="BY12" s="21">
        <v>0</v>
      </c>
      <c r="BZ12" s="21">
        <v>110</v>
      </c>
      <c r="CA12" s="21">
        <v>0</v>
      </c>
      <c r="CB12" s="21">
        <v>0</v>
      </c>
      <c r="CC12" s="21">
        <v>0</v>
      </c>
      <c r="CD12" s="21">
        <v>113</v>
      </c>
      <c r="CE12" s="21">
        <v>85</v>
      </c>
      <c r="CF12" s="21">
        <v>134</v>
      </c>
      <c r="CG12" s="21">
        <v>43</v>
      </c>
      <c r="CH12" s="21">
        <v>20</v>
      </c>
      <c r="CI12" s="21">
        <v>148</v>
      </c>
      <c r="CJ12" s="21">
        <v>132</v>
      </c>
      <c r="CK12" s="21">
        <v>132</v>
      </c>
      <c r="CL12" s="21">
        <v>96</v>
      </c>
      <c r="CM12" s="21">
        <v>117</v>
      </c>
      <c r="CN12" s="21">
        <v>74</v>
      </c>
      <c r="CO12" s="21">
        <v>68</v>
      </c>
      <c r="CP12" s="21">
        <v>116</v>
      </c>
      <c r="CQ12" s="21">
        <v>35</v>
      </c>
      <c r="CR12" s="21">
        <v>0</v>
      </c>
      <c r="CS12" s="21">
        <v>4</v>
      </c>
      <c r="CT12" s="21">
        <v>43</v>
      </c>
      <c r="CU12" s="21">
        <v>0</v>
      </c>
      <c r="CV12" s="21">
        <v>1</v>
      </c>
      <c r="CW12" s="21">
        <v>0</v>
      </c>
      <c r="CX12" s="21">
        <v>23</v>
      </c>
      <c r="CY12" s="21">
        <v>0</v>
      </c>
      <c r="CZ12" s="21"/>
    </row>
    <row r="13" spans="1:104">
      <c r="A13" s="21">
        <v>15</v>
      </c>
      <c r="B13" s="21">
        <v>20</v>
      </c>
      <c r="C13" s="21">
        <f t="shared" si="1"/>
        <v>17.5</v>
      </c>
      <c r="D13" s="21">
        <v>234</v>
      </c>
      <c r="E13" s="21">
        <v>134</v>
      </c>
      <c r="F13" s="21">
        <v>201</v>
      </c>
      <c r="G13" s="21">
        <v>155</v>
      </c>
      <c r="H13" s="21">
        <v>151</v>
      </c>
      <c r="I13" s="21">
        <v>265</v>
      </c>
      <c r="J13" s="21">
        <v>311</v>
      </c>
      <c r="K13" s="21">
        <v>330</v>
      </c>
      <c r="L13" s="21">
        <v>431</v>
      </c>
      <c r="M13" s="21">
        <v>545</v>
      </c>
      <c r="N13" s="21">
        <v>431</v>
      </c>
      <c r="O13" s="21">
        <v>481</v>
      </c>
      <c r="P13" s="21">
        <v>298</v>
      </c>
      <c r="Q13" s="21">
        <v>249</v>
      </c>
      <c r="R13" s="21">
        <v>179</v>
      </c>
      <c r="S13" s="21">
        <v>181</v>
      </c>
      <c r="T13" s="21">
        <v>176</v>
      </c>
      <c r="U13" s="21">
        <v>435</v>
      </c>
      <c r="V13" s="21">
        <v>410</v>
      </c>
      <c r="W13" s="21">
        <v>465</v>
      </c>
      <c r="X13" s="21">
        <v>350</v>
      </c>
      <c r="Y13" s="21">
        <v>142</v>
      </c>
      <c r="Z13" s="21">
        <v>167</v>
      </c>
      <c r="AA13" s="21">
        <v>382</v>
      </c>
      <c r="AB13" s="21">
        <v>424</v>
      </c>
      <c r="AC13" s="21">
        <v>300</v>
      </c>
      <c r="AD13" s="21">
        <v>248</v>
      </c>
      <c r="AE13" s="21">
        <v>260</v>
      </c>
      <c r="AF13" s="21">
        <v>125</v>
      </c>
      <c r="AG13" s="21">
        <v>211</v>
      </c>
      <c r="AH13" s="21">
        <v>369</v>
      </c>
      <c r="AI13" s="21">
        <v>256</v>
      </c>
      <c r="AJ13" s="21">
        <v>224</v>
      </c>
      <c r="AK13" s="21">
        <v>405</v>
      </c>
      <c r="AL13" s="21">
        <v>319</v>
      </c>
      <c r="AM13" s="165">
        <v>260</v>
      </c>
      <c r="AN13" s="166">
        <v>194</v>
      </c>
      <c r="AO13" s="167">
        <v>344</v>
      </c>
      <c r="AP13" s="168">
        <v>382</v>
      </c>
      <c r="AQ13" s="169">
        <v>252</v>
      </c>
      <c r="AR13" s="170">
        <v>376</v>
      </c>
      <c r="AS13" s="171">
        <v>398</v>
      </c>
      <c r="AT13" s="21">
        <v>376</v>
      </c>
      <c r="AU13" s="21">
        <v>515</v>
      </c>
      <c r="AV13" s="172">
        <v>556</v>
      </c>
      <c r="AW13" s="173">
        <v>564</v>
      </c>
      <c r="AX13" s="175">
        <v>467</v>
      </c>
      <c r="AY13" s="176">
        <v>384</v>
      </c>
      <c r="AZ13" s="177">
        <v>345</v>
      </c>
      <c r="BA13" s="178">
        <v>147</v>
      </c>
      <c r="BB13" s="179">
        <v>335</v>
      </c>
      <c r="BC13" s="180">
        <v>224</v>
      </c>
      <c r="BD13" s="181">
        <v>384</v>
      </c>
      <c r="BE13" s="182">
        <v>370</v>
      </c>
      <c r="BF13" s="183">
        <v>443</v>
      </c>
      <c r="BG13" s="184">
        <v>390</v>
      </c>
      <c r="BH13" s="21">
        <v>185</v>
      </c>
      <c r="BI13" s="21">
        <v>327</v>
      </c>
      <c r="BJ13" s="21">
        <v>281</v>
      </c>
      <c r="BK13" s="21">
        <v>0</v>
      </c>
      <c r="BL13" s="21">
        <v>20</v>
      </c>
      <c r="BM13" s="21">
        <v>87</v>
      </c>
      <c r="BN13" s="21">
        <v>0</v>
      </c>
      <c r="BO13" s="21">
        <v>176</v>
      </c>
      <c r="BP13" s="21">
        <v>225</v>
      </c>
      <c r="BQ13" s="21">
        <v>0</v>
      </c>
      <c r="BR13" s="21">
        <v>0</v>
      </c>
      <c r="BS13" s="21">
        <v>0</v>
      </c>
      <c r="BT13" s="21">
        <v>0</v>
      </c>
      <c r="BU13" s="21">
        <v>0</v>
      </c>
      <c r="BV13" s="21">
        <v>0</v>
      </c>
      <c r="BW13" s="21">
        <v>0</v>
      </c>
      <c r="BX13" s="21">
        <v>0</v>
      </c>
      <c r="BY13" s="21">
        <v>0</v>
      </c>
      <c r="BZ13" s="21">
        <v>254</v>
      </c>
      <c r="CA13" s="21">
        <v>2</v>
      </c>
      <c r="CB13" s="21">
        <v>9</v>
      </c>
      <c r="CC13" s="21">
        <v>0</v>
      </c>
      <c r="CD13" s="21">
        <v>360</v>
      </c>
      <c r="CE13" s="21">
        <v>217</v>
      </c>
      <c r="CF13" s="21">
        <v>271</v>
      </c>
      <c r="CG13" s="21">
        <v>225</v>
      </c>
      <c r="CH13" s="21">
        <v>114</v>
      </c>
      <c r="CI13" s="21">
        <v>431</v>
      </c>
      <c r="CJ13" s="21">
        <v>274</v>
      </c>
      <c r="CK13" s="21">
        <v>452</v>
      </c>
      <c r="CL13" s="21">
        <v>247</v>
      </c>
      <c r="CM13" s="21">
        <v>192</v>
      </c>
      <c r="CN13" s="21">
        <v>244</v>
      </c>
      <c r="CO13" s="21">
        <v>95</v>
      </c>
      <c r="CP13" s="21">
        <v>166</v>
      </c>
      <c r="CQ13" s="21">
        <v>145</v>
      </c>
      <c r="CR13" s="21">
        <v>27</v>
      </c>
      <c r="CS13" s="21">
        <v>24</v>
      </c>
      <c r="CT13" s="21">
        <v>221</v>
      </c>
      <c r="CU13" s="21">
        <v>0</v>
      </c>
      <c r="CV13" s="21">
        <v>31</v>
      </c>
      <c r="CW13" s="21">
        <v>0</v>
      </c>
      <c r="CX13" s="21">
        <v>85</v>
      </c>
      <c r="CY13" s="21">
        <v>1</v>
      </c>
      <c r="CZ13" s="21"/>
    </row>
    <row r="14" spans="1:104">
      <c r="A14" s="21">
        <v>20</v>
      </c>
      <c r="B14" s="21">
        <v>25</v>
      </c>
      <c r="C14" s="21">
        <f t="shared" si="1"/>
        <v>22.5</v>
      </c>
      <c r="D14" s="21">
        <v>497</v>
      </c>
      <c r="E14" s="21">
        <v>195</v>
      </c>
      <c r="F14" s="21">
        <v>305</v>
      </c>
      <c r="G14" s="21">
        <v>274</v>
      </c>
      <c r="H14" s="21">
        <v>207</v>
      </c>
      <c r="I14" s="21">
        <v>284</v>
      </c>
      <c r="J14" s="21">
        <v>342</v>
      </c>
      <c r="K14" s="21">
        <v>527</v>
      </c>
      <c r="L14" s="21">
        <v>444</v>
      </c>
      <c r="M14" s="21">
        <v>500</v>
      </c>
      <c r="N14" s="21">
        <v>514</v>
      </c>
      <c r="O14" s="21">
        <v>631</v>
      </c>
      <c r="P14" s="21">
        <v>325</v>
      </c>
      <c r="Q14" s="21">
        <v>288</v>
      </c>
      <c r="R14" s="21">
        <v>292</v>
      </c>
      <c r="S14" s="21">
        <v>314</v>
      </c>
      <c r="T14" s="21">
        <v>291</v>
      </c>
      <c r="U14" s="21">
        <v>498</v>
      </c>
      <c r="V14" s="21">
        <v>459</v>
      </c>
      <c r="W14" s="21">
        <v>404</v>
      </c>
      <c r="X14" s="21">
        <v>457</v>
      </c>
      <c r="Y14" s="21">
        <v>193</v>
      </c>
      <c r="Z14" s="21">
        <v>295</v>
      </c>
      <c r="AA14" s="21">
        <v>405</v>
      </c>
      <c r="AB14" s="21">
        <v>508</v>
      </c>
      <c r="AC14" s="21">
        <v>509</v>
      </c>
      <c r="AD14" s="21">
        <v>413</v>
      </c>
      <c r="AE14" s="21">
        <v>320</v>
      </c>
      <c r="AF14" s="21">
        <v>303</v>
      </c>
      <c r="AG14" s="21">
        <v>244</v>
      </c>
      <c r="AH14" s="21">
        <v>439</v>
      </c>
      <c r="AI14" s="21">
        <v>366</v>
      </c>
      <c r="AJ14" s="21">
        <v>375</v>
      </c>
      <c r="AK14" s="21">
        <v>464</v>
      </c>
      <c r="AL14" s="21">
        <v>498</v>
      </c>
      <c r="AM14" s="165">
        <v>269</v>
      </c>
      <c r="AN14" s="166">
        <v>222</v>
      </c>
      <c r="AO14" s="167">
        <v>325</v>
      </c>
      <c r="AP14" s="168">
        <v>320</v>
      </c>
      <c r="AQ14" s="169">
        <v>354</v>
      </c>
      <c r="AR14" s="170">
        <v>516</v>
      </c>
      <c r="AS14" s="171">
        <v>479</v>
      </c>
      <c r="AT14" s="21">
        <v>444</v>
      </c>
      <c r="AU14" s="21">
        <v>606</v>
      </c>
      <c r="AV14" s="172">
        <v>511</v>
      </c>
      <c r="AW14" s="173">
        <v>546</v>
      </c>
      <c r="AX14" s="175">
        <v>402</v>
      </c>
      <c r="AY14" s="176">
        <v>507</v>
      </c>
      <c r="AZ14" s="177">
        <v>416</v>
      </c>
      <c r="BA14" s="178">
        <v>286</v>
      </c>
      <c r="BB14" s="179">
        <v>370</v>
      </c>
      <c r="BC14" s="180">
        <v>328</v>
      </c>
      <c r="BD14" s="181">
        <v>414</v>
      </c>
      <c r="BE14" s="182">
        <v>532</v>
      </c>
      <c r="BF14" s="183">
        <v>579</v>
      </c>
      <c r="BG14" s="184">
        <v>531</v>
      </c>
      <c r="BH14" s="21">
        <v>217</v>
      </c>
      <c r="BI14" s="21">
        <v>483</v>
      </c>
      <c r="BJ14" s="21">
        <v>431</v>
      </c>
      <c r="BK14" s="21">
        <v>0</v>
      </c>
      <c r="BL14" s="21">
        <v>103</v>
      </c>
      <c r="BM14" s="21">
        <v>236</v>
      </c>
      <c r="BN14" s="21">
        <v>10</v>
      </c>
      <c r="BO14" s="21">
        <v>393</v>
      </c>
      <c r="BP14" s="21">
        <v>413</v>
      </c>
      <c r="BQ14" s="21">
        <v>0</v>
      </c>
      <c r="BR14" s="21">
        <v>0</v>
      </c>
      <c r="BS14" s="21">
        <v>0</v>
      </c>
      <c r="BT14" s="21">
        <v>0</v>
      </c>
      <c r="BU14" s="21">
        <v>0</v>
      </c>
      <c r="BV14" s="21">
        <v>0</v>
      </c>
      <c r="BW14" s="21">
        <v>0</v>
      </c>
      <c r="BX14" s="21">
        <v>0</v>
      </c>
      <c r="BY14" s="21">
        <v>33</v>
      </c>
      <c r="BZ14" s="21">
        <v>434</v>
      </c>
      <c r="CA14" s="21">
        <v>24</v>
      </c>
      <c r="CB14" s="21">
        <v>74</v>
      </c>
      <c r="CC14" s="21">
        <v>5</v>
      </c>
      <c r="CD14" s="21">
        <v>466</v>
      </c>
      <c r="CE14" s="21">
        <v>481</v>
      </c>
      <c r="CF14" s="21">
        <v>354</v>
      </c>
      <c r="CG14" s="21">
        <v>375</v>
      </c>
      <c r="CH14" s="21">
        <v>233</v>
      </c>
      <c r="CI14" s="21">
        <v>527</v>
      </c>
      <c r="CJ14" s="21">
        <v>331</v>
      </c>
      <c r="CK14" s="21">
        <v>455</v>
      </c>
      <c r="CL14" s="21">
        <v>328</v>
      </c>
      <c r="CM14" s="21">
        <v>267</v>
      </c>
      <c r="CN14" s="21">
        <v>289</v>
      </c>
      <c r="CO14" s="21">
        <v>82</v>
      </c>
      <c r="CP14" s="21">
        <v>300</v>
      </c>
      <c r="CQ14" s="21">
        <v>275</v>
      </c>
      <c r="CR14" s="21">
        <v>155</v>
      </c>
      <c r="CS14" s="21">
        <v>96</v>
      </c>
      <c r="CT14" s="21">
        <v>366</v>
      </c>
      <c r="CU14" s="21">
        <v>14</v>
      </c>
      <c r="CV14" s="21">
        <v>25</v>
      </c>
      <c r="CW14" s="21">
        <v>12</v>
      </c>
      <c r="CX14" s="21">
        <v>176</v>
      </c>
      <c r="CY14" s="21">
        <v>15</v>
      </c>
      <c r="CZ14" s="21"/>
    </row>
    <row r="15" spans="1:104">
      <c r="A15" s="21">
        <v>25</v>
      </c>
      <c r="B15" s="21">
        <v>30</v>
      </c>
      <c r="C15" s="21">
        <f t="shared" si="1"/>
        <v>27.5</v>
      </c>
      <c r="D15" s="21">
        <v>519</v>
      </c>
      <c r="E15" s="21">
        <v>384</v>
      </c>
      <c r="F15" s="21">
        <v>293</v>
      </c>
      <c r="G15" s="21">
        <v>333</v>
      </c>
      <c r="H15" s="21">
        <v>341</v>
      </c>
      <c r="I15" s="21">
        <v>320</v>
      </c>
      <c r="J15" s="21">
        <v>369</v>
      </c>
      <c r="K15" s="21">
        <v>564</v>
      </c>
      <c r="L15" s="21">
        <v>426</v>
      </c>
      <c r="M15" s="21">
        <v>449</v>
      </c>
      <c r="N15" s="21">
        <v>551</v>
      </c>
      <c r="O15" s="21">
        <v>573</v>
      </c>
      <c r="P15" s="21">
        <v>451</v>
      </c>
      <c r="Q15" s="21">
        <v>437</v>
      </c>
      <c r="R15" s="21">
        <v>400</v>
      </c>
      <c r="S15" s="21">
        <v>349</v>
      </c>
      <c r="T15" s="21">
        <v>338</v>
      </c>
      <c r="U15" s="21">
        <v>537</v>
      </c>
      <c r="V15" s="21">
        <v>459</v>
      </c>
      <c r="W15" s="21">
        <v>374</v>
      </c>
      <c r="X15" s="21">
        <v>622</v>
      </c>
      <c r="Y15" s="21">
        <v>289</v>
      </c>
      <c r="Z15" s="21">
        <v>338</v>
      </c>
      <c r="AA15" s="21">
        <v>440</v>
      </c>
      <c r="AB15" s="21">
        <v>435</v>
      </c>
      <c r="AC15" s="21">
        <v>567</v>
      </c>
      <c r="AD15" s="21">
        <v>416</v>
      </c>
      <c r="AE15" s="21">
        <v>387</v>
      </c>
      <c r="AF15" s="21">
        <v>352</v>
      </c>
      <c r="AG15" s="21">
        <v>340</v>
      </c>
      <c r="AH15" s="21">
        <v>480</v>
      </c>
      <c r="AI15" s="21">
        <v>333</v>
      </c>
      <c r="AJ15" s="21">
        <v>387</v>
      </c>
      <c r="AK15" s="21">
        <v>564</v>
      </c>
      <c r="AL15" s="21">
        <v>577</v>
      </c>
      <c r="AM15" s="165">
        <v>299</v>
      </c>
      <c r="AN15" s="166">
        <v>291</v>
      </c>
      <c r="AO15" s="167">
        <v>354</v>
      </c>
      <c r="AP15" s="168">
        <v>402</v>
      </c>
      <c r="AQ15" s="169">
        <v>478</v>
      </c>
      <c r="AR15" s="170">
        <v>511</v>
      </c>
      <c r="AS15" s="171">
        <v>508</v>
      </c>
      <c r="AT15" s="21">
        <v>350</v>
      </c>
      <c r="AU15" s="21">
        <v>472</v>
      </c>
      <c r="AV15" s="172">
        <v>573</v>
      </c>
      <c r="AW15" s="173">
        <v>478</v>
      </c>
      <c r="AX15" s="175">
        <v>409</v>
      </c>
      <c r="AY15" s="176">
        <v>450</v>
      </c>
      <c r="AZ15" s="177">
        <v>506</v>
      </c>
      <c r="BA15" s="178">
        <v>396</v>
      </c>
      <c r="BB15" s="179">
        <v>497</v>
      </c>
      <c r="BC15" s="180">
        <v>383</v>
      </c>
      <c r="BD15" s="181">
        <v>450</v>
      </c>
      <c r="BE15" s="182">
        <v>394</v>
      </c>
      <c r="BF15" s="183">
        <v>507</v>
      </c>
      <c r="BG15" s="184">
        <v>423</v>
      </c>
      <c r="BH15" s="21">
        <v>315</v>
      </c>
      <c r="BI15" s="21">
        <v>470</v>
      </c>
      <c r="BJ15" s="21">
        <v>303</v>
      </c>
      <c r="BK15" s="21">
        <v>0</v>
      </c>
      <c r="BL15" s="21">
        <v>171</v>
      </c>
      <c r="BM15" s="21">
        <v>325</v>
      </c>
      <c r="BN15" s="21">
        <v>59</v>
      </c>
      <c r="BO15" s="21">
        <v>614</v>
      </c>
      <c r="BP15" s="21">
        <v>467</v>
      </c>
      <c r="BQ15" s="21">
        <v>0</v>
      </c>
      <c r="BR15" s="21">
        <v>12</v>
      </c>
      <c r="BS15" s="21">
        <v>0</v>
      </c>
      <c r="BT15" s="21">
        <v>0</v>
      </c>
      <c r="BU15" s="21">
        <v>21</v>
      </c>
      <c r="BV15" s="21">
        <v>2</v>
      </c>
      <c r="BW15" s="21">
        <v>5</v>
      </c>
      <c r="BX15" s="21">
        <v>0</v>
      </c>
      <c r="BY15" s="21">
        <v>92</v>
      </c>
      <c r="BZ15" s="21">
        <v>695</v>
      </c>
      <c r="CA15" s="21">
        <v>86</v>
      </c>
      <c r="CB15" s="21">
        <v>221</v>
      </c>
      <c r="CC15" s="21">
        <v>31</v>
      </c>
      <c r="CD15" s="21">
        <v>390</v>
      </c>
      <c r="CE15" s="21">
        <v>417</v>
      </c>
      <c r="CF15" s="21">
        <v>513</v>
      </c>
      <c r="CG15" s="21">
        <v>506</v>
      </c>
      <c r="CH15" s="21">
        <v>413</v>
      </c>
      <c r="CI15" s="21">
        <v>597</v>
      </c>
      <c r="CJ15" s="21">
        <v>443</v>
      </c>
      <c r="CK15" s="21">
        <v>616</v>
      </c>
      <c r="CL15" s="21">
        <v>353</v>
      </c>
      <c r="CM15" s="21">
        <v>318</v>
      </c>
      <c r="CN15" s="21">
        <v>383</v>
      </c>
      <c r="CO15" s="21">
        <v>281</v>
      </c>
      <c r="CP15" s="21">
        <v>260</v>
      </c>
      <c r="CQ15" s="21">
        <v>288</v>
      </c>
      <c r="CR15" s="21">
        <v>316</v>
      </c>
      <c r="CS15" s="21">
        <v>90</v>
      </c>
      <c r="CT15" s="21">
        <v>467</v>
      </c>
      <c r="CU15" s="21">
        <v>65</v>
      </c>
      <c r="CV15" s="21">
        <v>40</v>
      </c>
      <c r="CW15" s="21">
        <v>22</v>
      </c>
      <c r="CX15" s="21">
        <v>214</v>
      </c>
      <c r="CY15" s="21">
        <v>22</v>
      </c>
      <c r="CZ15" s="21"/>
    </row>
    <row r="16" spans="1:104">
      <c r="A16" s="21">
        <v>30</v>
      </c>
      <c r="B16" s="21">
        <v>35</v>
      </c>
      <c r="C16" s="21">
        <f t="shared" si="1"/>
        <v>32.5</v>
      </c>
      <c r="D16" s="21">
        <v>725</v>
      </c>
      <c r="E16" s="21">
        <v>759</v>
      </c>
      <c r="F16" s="21">
        <v>544</v>
      </c>
      <c r="G16" s="21">
        <v>646</v>
      </c>
      <c r="H16" s="21">
        <v>662</v>
      </c>
      <c r="I16" s="21">
        <v>707</v>
      </c>
      <c r="J16" s="21">
        <v>578</v>
      </c>
      <c r="K16" s="21">
        <v>787</v>
      </c>
      <c r="L16" s="21">
        <v>744</v>
      </c>
      <c r="M16" s="21">
        <v>676</v>
      </c>
      <c r="N16" s="21">
        <v>828</v>
      </c>
      <c r="O16" s="21">
        <v>814</v>
      </c>
      <c r="P16" s="21">
        <v>801</v>
      </c>
      <c r="Q16" s="21">
        <v>679</v>
      </c>
      <c r="R16" s="21">
        <v>716</v>
      </c>
      <c r="S16" s="21">
        <v>649</v>
      </c>
      <c r="T16" s="21">
        <v>467</v>
      </c>
      <c r="U16" s="21">
        <v>654</v>
      </c>
      <c r="V16" s="21">
        <v>843</v>
      </c>
      <c r="W16" s="21">
        <v>641</v>
      </c>
      <c r="X16" s="21">
        <v>878</v>
      </c>
      <c r="Y16" s="21">
        <v>531</v>
      </c>
      <c r="Z16" s="21">
        <v>519</v>
      </c>
      <c r="AA16" s="21">
        <v>659</v>
      </c>
      <c r="AB16" s="21">
        <v>832</v>
      </c>
      <c r="AC16" s="21">
        <v>931</v>
      </c>
      <c r="AD16" s="21">
        <v>759</v>
      </c>
      <c r="AE16" s="21">
        <v>756</v>
      </c>
      <c r="AF16" s="21">
        <v>650</v>
      </c>
      <c r="AG16" s="21">
        <v>838</v>
      </c>
      <c r="AH16" s="21">
        <v>745</v>
      </c>
      <c r="AI16" s="21">
        <v>643</v>
      </c>
      <c r="AJ16" s="21">
        <v>805</v>
      </c>
      <c r="AK16" s="21">
        <v>717</v>
      </c>
      <c r="AL16" s="21">
        <v>765</v>
      </c>
      <c r="AM16" s="165">
        <v>671</v>
      </c>
      <c r="AN16" s="166">
        <v>523</v>
      </c>
      <c r="AO16" s="167">
        <v>794</v>
      </c>
      <c r="AP16" s="168">
        <v>759</v>
      </c>
      <c r="AQ16" s="169">
        <v>530</v>
      </c>
      <c r="AR16" s="170">
        <v>734</v>
      </c>
      <c r="AS16" s="171">
        <v>626</v>
      </c>
      <c r="AT16" s="21">
        <v>694</v>
      </c>
      <c r="AU16" s="21">
        <v>784</v>
      </c>
      <c r="AV16" s="172">
        <v>663</v>
      </c>
      <c r="AW16" s="173">
        <v>726</v>
      </c>
      <c r="AX16" s="175">
        <v>693</v>
      </c>
      <c r="AY16" s="176">
        <v>712</v>
      </c>
      <c r="AZ16" s="177">
        <v>624</v>
      </c>
      <c r="BA16" s="178">
        <v>559</v>
      </c>
      <c r="BB16" s="179">
        <v>749</v>
      </c>
      <c r="BC16" s="180">
        <v>628</v>
      </c>
      <c r="BD16" s="181">
        <v>826</v>
      </c>
      <c r="BE16" s="182">
        <v>662</v>
      </c>
      <c r="BF16" s="183">
        <v>820</v>
      </c>
      <c r="BG16" s="184">
        <v>720</v>
      </c>
      <c r="BH16" s="21">
        <v>589</v>
      </c>
      <c r="BI16" s="21">
        <v>775</v>
      </c>
      <c r="BJ16" s="21">
        <v>597</v>
      </c>
      <c r="BK16" s="21">
        <v>11</v>
      </c>
      <c r="BL16" s="21">
        <v>221</v>
      </c>
      <c r="BM16" s="21">
        <v>544</v>
      </c>
      <c r="BN16" s="21">
        <v>264</v>
      </c>
      <c r="BO16" s="21">
        <v>979</v>
      </c>
      <c r="BP16" s="21">
        <v>776</v>
      </c>
      <c r="BQ16" s="21">
        <v>22</v>
      </c>
      <c r="BR16" s="21">
        <v>105</v>
      </c>
      <c r="BS16" s="21">
        <v>0</v>
      </c>
      <c r="BT16" s="21">
        <v>0</v>
      </c>
      <c r="BU16" s="21">
        <v>119</v>
      </c>
      <c r="BV16" s="21">
        <v>23</v>
      </c>
      <c r="BW16" s="21">
        <v>177</v>
      </c>
      <c r="BX16" s="21">
        <v>0</v>
      </c>
      <c r="BY16" s="21">
        <v>316</v>
      </c>
      <c r="BZ16" s="21">
        <v>1102</v>
      </c>
      <c r="CA16" s="21">
        <v>428</v>
      </c>
      <c r="CB16" s="21">
        <v>493</v>
      </c>
      <c r="CC16" s="21">
        <v>278</v>
      </c>
      <c r="CD16" s="21">
        <v>675</v>
      </c>
      <c r="CE16" s="21">
        <v>732</v>
      </c>
      <c r="CF16" s="21">
        <v>703</v>
      </c>
      <c r="CG16" s="21">
        <v>784</v>
      </c>
      <c r="CH16" s="21">
        <v>770</v>
      </c>
      <c r="CI16" s="21">
        <v>742</v>
      </c>
      <c r="CJ16" s="21">
        <v>805</v>
      </c>
      <c r="CK16" s="21">
        <v>1010</v>
      </c>
      <c r="CL16" s="21">
        <v>732</v>
      </c>
      <c r="CM16" s="21">
        <v>571</v>
      </c>
      <c r="CN16" s="21">
        <v>610</v>
      </c>
      <c r="CO16" s="21">
        <v>682</v>
      </c>
      <c r="CP16" s="21">
        <v>507</v>
      </c>
      <c r="CQ16" s="21">
        <v>502</v>
      </c>
      <c r="CR16" s="21">
        <v>635</v>
      </c>
      <c r="CS16" s="21">
        <v>280</v>
      </c>
      <c r="CT16" s="21">
        <v>806</v>
      </c>
      <c r="CU16" s="21">
        <v>188</v>
      </c>
      <c r="CV16" s="21">
        <v>149</v>
      </c>
      <c r="CW16" s="21">
        <v>105</v>
      </c>
      <c r="CX16" s="21">
        <v>434</v>
      </c>
      <c r="CY16" s="21">
        <v>116</v>
      </c>
      <c r="CZ16" s="21"/>
    </row>
    <row r="17" spans="1:104">
      <c r="A17" s="21">
        <v>35</v>
      </c>
      <c r="B17" s="21">
        <v>40</v>
      </c>
      <c r="C17" s="21">
        <f t="shared" si="1"/>
        <v>37.5</v>
      </c>
      <c r="D17" s="21">
        <v>890</v>
      </c>
      <c r="E17" s="21">
        <v>820</v>
      </c>
      <c r="F17" s="21">
        <v>711</v>
      </c>
      <c r="G17" s="21">
        <v>753</v>
      </c>
      <c r="H17" s="21">
        <v>1133</v>
      </c>
      <c r="I17" s="21">
        <v>1060</v>
      </c>
      <c r="J17" s="21">
        <v>813</v>
      </c>
      <c r="K17" s="21">
        <v>857</v>
      </c>
      <c r="L17" s="21">
        <v>946</v>
      </c>
      <c r="M17" s="21">
        <v>777</v>
      </c>
      <c r="N17" s="21">
        <v>853</v>
      </c>
      <c r="O17" s="21">
        <v>853</v>
      </c>
      <c r="P17" s="21">
        <v>910</v>
      </c>
      <c r="Q17" s="21">
        <v>842</v>
      </c>
      <c r="R17" s="21">
        <v>745</v>
      </c>
      <c r="S17" s="21">
        <v>735</v>
      </c>
      <c r="T17" s="21">
        <v>679</v>
      </c>
      <c r="U17" s="21">
        <v>720</v>
      </c>
      <c r="V17" s="21">
        <v>791</v>
      </c>
      <c r="W17" s="21">
        <v>941</v>
      </c>
      <c r="X17" s="21">
        <v>808</v>
      </c>
      <c r="Y17" s="21">
        <v>936</v>
      </c>
      <c r="Z17" s="21">
        <v>801</v>
      </c>
      <c r="AA17" s="21">
        <v>992</v>
      </c>
      <c r="AB17" s="21">
        <v>790</v>
      </c>
      <c r="AC17" s="21">
        <v>869</v>
      </c>
      <c r="AD17" s="21">
        <v>760</v>
      </c>
      <c r="AE17" s="21">
        <v>931</v>
      </c>
      <c r="AF17" s="21">
        <v>796</v>
      </c>
      <c r="AG17" s="21">
        <v>841</v>
      </c>
      <c r="AH17" s="21">
        <v>786</v>
      </c>
      <c r="AI17" s="21">
        <v>890</v>
      </c>
      <c r="AJ17" s="21">
        <v>921</v>
      </c>
      <c r="AK17" s="21">
        <v>769</v>
      </c>
      <c r="AL17" s="21">
        <v>738</v>
      </c>
      <c r="AM17" s="165">
        <v>751</v>
      </c>
      <c r="AN17" s="166">
        <v>881</v>
      </c>
      <c r="AO17" s="167">
        <v>800</v>
      </c>
      <c r="AP17" s="168">
        <v>865</v>
      </c>
      <c r="AQ17" s="169">
        <v>622</v>
      </c>
      <c r="AR17" s="170">
        <v>818</v>
      </c>
      <c r="AS17" s="171">
        <v>933</v>
      </c>
      <c r="AT17" s="21">
        <v>600</v>
      </c>
      <c r="AU17" s="21">
        <v>885</v>
      </c>
      <c r="AV17" s="172">
        <v>666</v>
      </c>
      <c r="AW17" s="173">
        <v>653</v>
      </c>
      <c r="AX17" s="175">
        <v>766</v>
      </c>
      <c r="AY17" s="176">
        <v>851</v>
      </c>
      <c r="AZ17" s="177">
        <v>660</v>
      </c>
      <c r="BA17" s="178">
        <v>696</v>
      </c>
      <c r="BB17" s="179">
        <v>904</v>
      </c>
      <c r="BC17" s="180">
        <v>750</v>
      </c>
      <c r="BD17" s="181">
        <v>841</v>
      </c>
      <c r="BE17" s="182">
        <v>654</v>
      </c>
      <c r="BF17" s="183">
        <v>777</v>
      </c>
      <c r="BG17" s="184">
        <v>883</v>
      </c>
      <c r="BH17" s="21">
        <v>551</v>
      </c>
      <c r="BI17" s="21">
        <v>714</v>
      </c>
      <c r="BJ17" s="21">
        <v>757</v>
      </c>
      <c r="BK17" s="21">
        <v>38</v>
      </c>
      <c r="BL17" s="21">
        <v>491</v>
      </c>
      <c r="BM17" s="21">
        <v>666</v>
      </c>
      <c r="BN17" s="21">
        <v>872</v>
      </c>
      <c r="BO17" s="21">
        <v>1166</v>
      </c>
      <c r="BP17" s="21">
        <v>1062</v>
      </c>
      <c r="BQ17" s="21">
        <v>261</v>
      </c>
      <c r="BR17" s="21">
        <v>392</v>
      </c>
      <c r="BS17" s="21">
        <v>0</v>
      </c>
      <c r="BT17" s="21">
        <v>3</v>
      </c>
      <c r="BU17" s="21">
        <v>466</v>
      </c>
      <c r="BV17" s="21">
        <v>137</v>
      </c>
      <c r="BW17" s="21">
        <v>384</v>
      </c>
      <c r="BX17" s="21">
        <v>56</v>
      </c>
      <c r="BY17" s="21">
        <v>521</v>
      </c>
      <c r="BZ17" s="21">
        <v>1034</v>
      </c>
      <c r="CA17" s="21">
        <v>1187</v>
      </c>
      <c r="CB17" s="21">
        <v>1092</v>
      </c>
      <c r="CC17" s="21">
        <v>891</v>
      </c>
      <c r="CD17" s="21">
        <v>874</v>
      </c>
      <c r="CE17" s="21">
        <v>896</v>
      </c>
      <c r="CF17" s="21">
        <v>899</v>
      </c>
      <c r="CG17" s="21">
        <v>858</v>
      </c>
      <c r="CH17" s="21">
        <v>996</v>
      </c>
      <c r="CI17" s="21">
        <v>934</v>
      </c>
      <c r="CJ17" s="21">
        <v>925</v>
      </c>
      <c r="CK17" s="21">
        <v>1084</v>
      </c>
      <c r="CL17" s="21">
        <v>685</v>
      </c>
      <c r="CM17" s="21">
        <v>629</v>
      </c>
      <c r="CN17" s="21">
        <v>675</v>
      </c>
      <c r="CO17" s="21">
        <v>807</v>
      </c>
      <c r="CP17" s="21">
        <v>664</v>
      </c>
      <c r="CQ17" s="21">
        <v>785</v>
      </c>
      <c r="CR17" s="21">
        <v>885</v>
      </c>
      <c r="CS17" s="21">
        <v>508</v>
      </c>
      <c r="CT17" s="21">
        <v>938</v>
      </c>
      <c r="CU17" s="21">
        <v>489</v>
      </c>
      <c r="CV17" s="21">
        <v>350</v>
      </c>
      <c r="CW17" s="21">
        <v>267</v>
      </c>
      <c r="CX17" s="21">
        <v>742</v>
      </c>
      <c r="CY17" s="21">
        <v>329</v>
      </c>
      <c r="CZ17" s="21"/>
    </row>
    <row r="18" spans="1:104">
      <c r="A18" s="21">
        <v>40</v>
      </c>
      <c r="B18" s="21">
        <v>45</v>
      </c>
      <c r="C18" s="21">
        <f t="shared" si="1"/>
        <v>42.5</v>
      </c>
      <c r="D18" s="21">
        <v>625</v>
      </c>
      <c r="E18" s="21">
        <v>783</v>
      </c>
      <c r="F18" s="21">
        <v>770</v>
      </c>
      <c r="G18" s="21">
        <v>707</v>
      </c>
      <c r="H18" s="21">
        <v>771</v>
      </c>
      <c r="I18" s="21">
        <v>738</v>
      </c>
      <c r="J18" s="21">
        <v>861</v>
      </c>
      <c r="K18" s="21">
        <v>648</v>
      </c>
      <c r="L18" s="21">
        <v>776</v>
      </c>
      <c r="M18" s="21">
        <v>764</v>
      </c>
      <c r="N18" s="21">
        <v>604</v>
      </c>
      <c r="O18" s="21">
        <v>676</v>
      </c>
      <c r="P18" s="21">
        <v>727</v>
      </c>
      <c r="Q18" s="21">
        <v>793</v>
      </c>
      <c r="R18" s="21">
        <v>637</v>
      </c>
      <c r="S18" s="21">
        <v>648</v>
      </c>
      <c r="T18" s="21">
        <v>712</v>
      </c>
      <c r="U18" s="21">
        <v>550</v>
      </c>
      <c r="V18" s="21">
        <v>658</v>
      </c>
      <c r="W18" s="21">
        <v>783</v>
      </c>
      <c r="X18" s="21">
        <v>762</v>
      </c>
      <c r="Y18" s="21">
        <v>845</v>
      </c>
      <c r="Z18" s="21">
        <v>754</v>
      </c>
      <c r="AA18" s="21">
        <v>647</v>
      </c>
      <c r="AB18" s="21">
        <v>644</v>
      </c>
      <c r="AC18" s="21">
        <v>560</v>
      </c>
      <c r="AD18" s="21">
        <v>572</v>
      </c>
      <c r="AE18" s="21">
        <v>612</v>
      </c>
      <c r="AF18" s="21">
        <v>626</v>
      </c>
      <c r="AG18" s="21">
        <v>672</v>
      </c>
      <c r="AH18" s="21">
        <v>647</v>
      </c>
      <c r="AI18" s="21">
        <v>852</v>
      </c>
      <c r="AJ18" s="21">
        <v>740</v>
      </c>
      <c r="AK18" s="21">
        <v>706</v>
      </c>
      <c r="AL18" s="21">
        <v>576</v>
      </c>
      <c r="AM18" s="165">
        <v>518</v>
      </c>
      <c r="AN18" s="166">
        <v>645</v>
      </c>
      <c r="AO18" s="167">
        <v>552</v>
      </c>
      <c r="AP18" s="168">
        <v>595</v>
      </c>
      <c r="AQ18" s="169">
        <v>555</v>
      </c>
      <c r="AR18" s="170">
        <v>672</v>
      </c>
      <c r="AS18" s="171">
        <v>599</v>
      </c>
      <c r="AT18" s="21">
        <v>793</v>
      </c>
      <c r="AU18" s="21">
        <v>632</v>
      </c>
      <c r="AV18" s="172">
        <v>551</v>
      </c>
      <c r="AW18" s="173">
        <v>590</v>
      </c>
      <c r="AX18" s="175">
        <v>603</v>
      </c>
      <c r="AY18" s="176">
        <v>669</v>
      </c>
      <c r="AZ18" s="177">
        <v>471</v>
      </c>
      <c r="BA18" s="178">
        <v>763</v>
      </c>
      <c r="BB18" s="179">
        <v>529</v>
      </c>
      <c r="BC18" s="180">
        <v>584</v>
      </c>
      <c r="BD18" s="181">
        <v>692</v>
      </c>
      <c r="BE18" s="182">
        <v>480</v>
      </c>
      <c r="BF18" s="183">
        <v>579</v>
      </c>
      <c r="BG18" s="184">
        <v>723</v>
      </c>
      <c r="BH18" s="21">
        <v>656</v>
      </c>
      <c r="BI18" s="21">
        <v>562</v>
      </c>
      <c r="BJ18" s="21">
        <v>487</v>
      </c>
      <c r="BK18" s="21">
        <v>94</v>
      </c>
      <c r="BL18" s="21">
        <v>594</v>
      </c>
      <c r="BM18" s="21">
        <v>682</v>
      </c>
      <c r="BN18" s="21">
        <v>1338</v>
      </c>
      <c r="BO18" s="21">
        <v>863</v>
      </c>
      <c r="BP18" s="21">
        <v>762</v>
      </c>
      <c r="BQ18" s="21">
        <v>610</v>
      </c>
      <c r="BR18" s="21">
        <v>590</v>
      </c>
      <c r="BS18" s="21">
        <v>32</v>
      </c>
      <c r="BT18" s="21">
        <v>78</v>
      </c>
      <c r="BU18" s="21">
        <v>647</v>
      </c>
      <c r="BV18" s="21">
        <v>410</v>
      </c>
      <c r="BW18" s="21">
        <v>661</v>
      </c>
      <c r="BX18" s="21">
        <v>290</v>
      </c>
      <c r="BY18" s="21">
        <v>850</v>
      </c>
      <c r="BZ18" s="21">
        <v>939</v>
      </c>
      <c r="CA18" s="21">
        <v>1283</v>
      </c>
      <c r="CB18" s="21">
        <v>1101</v>
      </c>
      <c r="CC18" s="21">
        <v>1137</v>
      </c>
      <c r="CD18" s="21">
        <v>721</v>
      </c>
      <c r="CE18" s="21">
        <v>735</v>
      </c>
      <c r="CF18" s="21">
        <v>814</v>
      </c>
      <c r="CG18" s="21">
        <v>625</v>
      </c>
      <c r="CH18" s="21">
        <v>837</v>
      </c>
      <c r="CI18" s="21">
        <v>763</v>
      </c>
      <c r="CJ18" s="21">
        <v>710</v>
      </c>
      <c r="CK18" s="21">
        <v>887</v>
      </c>
      <c r="CL18" s="21">
        <v>619</v>
      </c>
      <c r="CM18" s="21">
        <v>583</v>
      </c>
      <c r="CN18" s="21">
        <v>499</v>
      </c>
      <c r="CO18" s="21">
        <v>673</v>
      </c>
      <c r="CP18" s="21">
        <v>637</v>
      </c>
      <c r="CQ18" s="21">
        <v>598</v>
      </c>
      <c r="CR18" s="21">
        <v>721</v>
      </c>
      <c r="CS18" s="21">
        <v>614</v>
      </c>
      <c r="CT18" s="21">
        <v>693</v>
      </c>
      <c r="CU18" s="21">
        <v>564</v>
      </c>
      <c r="CV18" s="21">
        <v>542</v>
      </c>
      <c r="CW18" s="21">
        <v>372</v>
      </c>
      <c r="CX18" s="21">
        <v>597</v>
      </c>
      <c r="CY18" s="21">
        <v>304</v>
      </c>
      <c r="CZ18" s="21"/>
    </row>
    <row r="19" spans="1:104">
      <c r="A19" s="21">
        <v>45</v>
      </c>
      <c r="B19" s="21">
        <v>50</v>
      </c>
      <c r="C19" s="21">
        <f t="shared" si="1"/>
        <v>47.5</v>
      </c>
      <c r="D19" s="21">
        <v>666</v>
      </c>
      <c r="E19" s="21">
        <v>919</v>
      </c>
      <c r="F19" s="21">
        <v>772</v>
      </c>
      <c r="G19" s="21">
        <v>803</v>
      </c>
      <c r="H19" s="21">
        <v>923</v>
      </c>
      <c r="I19" s="21">
        <v>763</v>
      </c>
      <c r="J19" s="21">
        <v>683</v>
      </c>
      <c r="K19" s="21">
        <v>563</v>
      </c>
      <c r="L19" s="21">
        <v>745</v>
      </c>
      <c r="M19" s="21">
        <v>689</v>
      </c>
      <c r="N19" s="21">
        <v>897</v>
      </c>
      <c r="O19" s="21">
        <v>753</v>
      </c>
      <c r="P19" s="21">
        <v>727</v>
      </c>
      <c r="Q19" s="21">
        <v>917</v>
      </c>
      <c r="R19" s="21">
        <v>742</v>
      </c>
      <c r="S19" s="21">
        <v>618</v>
      </c>
      <c r="T19" s="21">
        <v>857</v>
      </c>
      <c r="U19" s="21">
        <v>740</v>
      </c>
      <c r="V19" s="21">
        <v>784</v>
      </c>
      <c r="W19" s="21">
        <v>696</v>
      </c>
      <c r="X19" s="21">
        <v>720</v>
      </c>
      <c r="Y19" s="21">
        <v>727</v>
      </c>
      <c r="Z19" s="21">
        <v>817</v>
      </c>
      <c r="AA19" s="21">
        <v>569</v>
      </c>
      <c r="AB19" s="21">
        <v>653</v>
      </c>
      <c r="AC19" s="21">
        <v>606</v>
      </c>
      <c r="AD19" s="21">
        <v>748</v>
      </c>
      <c r="AE19" s="21">
        <v>565</v>
      </c>
      <c r="AF19" s="21">
        <v>680</v>
      </c>
      <c r="AG19" s="21">
        <v>729</v>
      </c>
      <c r="AH19" s="21">
        <v>752</v>
      </c>
      <c r="AI19" s="21">
        <v>802</v>
      </c>
      <c r="AJ19" s="21">
        <v>770</v>
      </c>
      <c r="AK19" s="21">
        <v>670</v>
      </c>
      <c r="AL19" s="21">
        <v>593</v>
      </c>
      <c r="AM19" s="165">
        <v>471</v>
      </c>
      <c r="AN19" s="166">
        <v>542</v>
      </c>
      <c r="AO19" s="167">
        <v>516</v>
      </c>
      <c r="AP19" s="168">
        <v>545</v>
      </c>
      <c r="AQ19" s="169">
        <v>508</v>
      </c>
      <c r="AR19" s="170">
        <v>614</v>
      </c>
      <c r="AS19" s="171">
        <v>623</v>
      </c>
      <c r="AT19" s="21">
        <v>785</v>
      </c>
      <c r="AU19" s="21">
        <v>612</v>
      </c>
      <c r="AV19" s="172">
        <v>630</v>
      </c>
      <c r="AW19" s="173">
        <v>559</v>
      </c>
      <c r="AX19" s="175">
        <v>529</v>
      </c>
      <c r="AY19" s="176">
        <v>590</v>
      </c>
      <c r="AZ19" s="177">
        <v>584</v>
      </c>
      <c r="BA19" s="178">
        <v>767</v>
      </c>
      <c r="BB19" s="179">
        <v>568</v>
      </c>
      <c r="BC19" s="180">
        <v>639</v>
      </c>
      <c r="BD19" s="181">
        <v>642</v>
      </c>
      <c r="BE19" s="182">
        <v>488</v>
      </c>
      <c r="BF19" s="183">
        <v>527</v>
      </c>
      <c r="BG19" s="184">
        <v>603</v>
      </c>
      <c r="BH19" s="21">
        <v>633</v>
      </c>
      <c r="BI19" s="21">
        <v>499</v>
      </c>
      <c r="BJ19" s="21">
        <v>632</v>
      </c>
      <c r="BK19" s="21">
        <v>248</v>
      </c>
      <c r="BL19" s="21">
        <v>619</v>
      </c>
      <c r="BM19" s="21">
        <v>757</v>
      </c>
      <c r="BN19" s="21">
        <v>1414</v>
      </c>
      <c r="BO19" s="21">
        <v>857</v>
      </c>
      <c r="BP19" s="21">
        <v>854</v>
      </c>
      <c r="BQ19" s="21">
        <v>897</v>
      </c>
      <c r="BR19" s="21">
        <v>926</v>
      </c>
      <c r="BS19" s="21">
        <v>307</v>
      </c>
      <c r="BT19" s="21">
        <v>329</v>
      </c>
      <c r="BU19" s="21">
        <v>1150</v>
      </c>
      <c r="BV19" s="21">
        <v>745</v>
      </c>
      <c r="BW19" s="21">
        <v>1141</v>
      </c>
      <c r="BX19" s="21">
        <v>1083</v>
      </c>
      <c r="BY19" s="21">
        <v>873</v>
      </c>
      <c r="BZ19" s="21">
        <v>788</v>
      </c>
      <c r="CA19" s="21">
        <v>1411</v>
      </c>
      <c r="CB19" s="21">
        <v>1180</v>
      </c>
      <c r="CC19" s="21">
        <v>1371</v>
      </c>
      <c r="CD19" s="21">
        <v>752</v>
      </c>
      <c r="CE19" s="21">
        <v>676</v>
      </c>
      <c r="CF19" s="21">
        <v>683</v>
      </c>
      <c r="CG19" s="21">
        <v>575</v>
      </c>
      <c r="CH19" s="21">
        <v>902</v>
      </c>
      <c r="CI19" s="21">
        <v>778</v>
      </c>
      <c r="CJ19" s="21">
        <v>720</v>
      </c>
      <c r="CK19" s="21">
        <v>777</v>
      </c>
      <c r="CL19" s="21">
        <v>586</v>
      </c>
      <c r="CM19" s="21">
        <v>595</v>
      </c>
      <c r="CN19" s="21">
        <v>554</v>
      </c>
      <c r="CO19" s="21">
        <v>630</v>
      </c>
      <c r="CP19" s="21">
        <v>561</v>
      </c>
      <c r="CQ19" s="21">
        <v>684</v>
      </c>
      <c r="CR19" s="21">
        <v>712</v>
      </c>
      <c r="CS19" s="21">
        <v>696</v>
      </c>
      <c r="CT19" s="21">
        <v>673</v>
      </c>
      <c r="CU19" s="21">
        <v>743</v>
      </c>
      <c r="CV19" s="21">
        <v>708</v>
      </c>
      <c r="CW19" s="21">
        <v>436</v>
      </c>
      <c r="CX19" s="21">
        <v>556</v>
      </c>
      <c r="CY19" s="21">
        <v>500</v>
      </c>
      <c r="CZ19" s="21"/>
    </row>
    <row r="20" spans="1:104">
      <c r="A20" s="21">
        <v>50</v>
      </c>
      <c r="B20" s="21">
        <v>55</v>
      </c>
      <c r="C20" s="21">
        <f t="shared" si="1"/>
        <v>52.5</v>
      </c>
      <c r="D20" s="21">
        <v>598</v>
      </c>
      <c r="E20" s="21">
        <v>728</v>
      </c>
      <c r="F20" s="21">
        <v>541</v>
      </c>
      <c r="G20" s="21">
        <v>601</v>
      </c>
      <c r="H20" s="21">
        <v>823</v>
      </c>
      <c r="I20" s="21">
        <v>619</v>
      </c>
      <c r="J20" s="21">
        <v>620</v>
      </c>
      <c r="K20" s="21">
        <v>542</v>
      </c>
      <c r="L20" s="21">
        <v>560</v>
      </c>
      <c r="M20" s="21">
        <v>535</v>
      </c>
      <c r="N20" s="21">
        <v>661</v>
      </c>
      <c r="O20" s="21">
        <v>534</v>
      </c>
      <c r="P20" s="21">
        <v>607</v>
      </c>
      <c r="Q20" s="21">
        <v>686</v>
      </c>
      <c r="R20" s="21">
        <v>591</v>
      </c>
      <c r="S20" s="21">
        <v>605</v>
      </c>
      <c r="T20" s="21">
        <v>599</v>
      </c>
      <c r="U20" s="21">
        <v>556</v>
      </c>
      <c r="V20" s="21">
        <v>584</v>
      </c>
      <c r="W20" s="21">
        <v>565</v>
      </c>
      <c r="X20" s="21">
        <v>757</v>
      </c>
      <c r="Y20" s="21">
        <v>705</v>
      </c>
      <c r="Z20" s="21">
        <v>657</v>
      </c>
      <c r="AA20" s="21">
        <v>454</v>
      </c>
      <c r="AB20" s="21">
        <v>465</v>
      </c>
      <c r="AC20" s="21">
        <v>576</v>
      </c>
      <c r="AD20" s="21">
        <v>596</v>
      </c>
      <c r="AE20" s="21">
        <v>498</v>
      </c>
      <c r="AF20" s="21">
        <v>510</v>
      </c>
      <c r="AG20" s="21">
        <v>558</v>
      </c>
      <c r="AH20" s="21">
        <v>581</v>
      </c>
      <c r="AI20" s="21">
        <v>672</v>
      </c>
      <c r="AJ20" s="21">
        <v>604</v>
      </c>
      <c r="AK20" s="21">
        <v>523</v>
      </c>
      <c r="AL20" s="21">
        <v>556</v>
      </c>
      <c r="AM20" s="165">
        <v>500</v>
      </c>
      <c r="AN20" s="166">
        <v>445</v>
      </c>
      <c r="AO20" s="167">
        <v>351</v>
      </c>
      <c r="AP20" s="168">
        <v>504</v>
      </c>
      <c r="AQ20" s="169">
        <v>538</v>
      </c>
      <c r="AR20" s="170">
        <v>466</v>
      </c>
      <c r="AS20" s="171">
        <v>497</v>
      </c>
      <c r="AT20" s="21">
        <v>551</v>
      </c>
      <c r="AU20" s="21">
        <v>519</v>
      </c>
      <c r="AV20" s="172">
        <v>573</v>
      </c>
      <c r="AW20" s="173">
        <v>434</v>
      </c>
      <c r="AX20" s="175">
        <v>488</v>
      </c>
      <c r="AY20" s="176">
        <v>509</v>
      </c>
      <c r="AZ20" s="177">
        <v>485</v>
      </c>
      <c r="BA20" s="178">
        <v>565</v>
      </c>
      <c r="BB20" s="179">
        <v>483</v>
      </c>
      <c r="BC20" s="180">
        <v>580</v>
      </c>
      <c r="BD20" s="181">
        <v>511</v>
      </c>
      <c r="BE20" s="182">
        <v>497</v>
      </c>
      <c r="BF20" s="183">
        <v>420</v>
      </c>
      <c r="BG20" s="184">
        <v>547</v>
      </c>
      <c r="BH20" s="21">
        <v>515</v>
      </c>
      <c r="BI20" s="21">
        <v>432</v>
      </c>
      <c r="BJ20" s="21">
        <v>485</v>
      </c>
      <c r="BK20" s="21">
        <v>353</v>
      </c>
      <c r="BL20" s="21">
        <v>604</v>
      </c>
      <c r="BM20" s="21">
        <v>623</v>
      </c>
      <c r="BN20" s="21">
        <v>1289</v>
      </c>
      <c r="BO20" s="21">
        <v>666</v>
      </c>
      <c r="BP20" s="21">
        <v>644</v>
      </c>
      <c r="BQ20" s="21">
        <v>801</v>
      </c>
      <c r="BR20" s="21">
        <v>826</v>
      </c>
      <c r="BS20" s="21">
        <v>698</v>
      </c>
      <c r="BT20" s="21">
        <v>491</v>
      </c>
      <c r="BU20" s="21">
        <v>947</v>
      </c>
      <c r="BV20" s="21">
        <v>991</v>
      </c>
      <c r="BW20" s="21">
        <v>1033</v>
      </c>
      <c r="BX20" s="21">
        <v>1937</v>
      </c>
      <c r="BY20" s="21">
        <v>881</v>
      </c>
      <c r="BZ20" s="21">
        <v>634</v>
      </c>
      <c r="CA20" s="21">
        <v>896</v>
      </c>
      <c r="CB20" s="21">
        <v>853</v>
      </c>
      <c r="CC20" s="21">
        <v>1006</v>
      </c>
      <c r="CD20" s="21">
        <v>606</v>
      </c>
      <c r="CE20" s="21">
        <v>501</v>
      </c>
      <c r="CF20" s="21">
        <v>653</v>
      </c>
      <c r="CG20" s="21">
        <v>512</v>
      </c>
      <c r="CH20" s="21">
        <v>715</v>
      </c>
      <c r="CI20" s="21">
        <v>558</v>
      </c>
      <c r="CJ20" s="21">
        <v>585</v>
      </c>
      <c r="CK20" s="21">
        <v>602</v>
      </c>
      <c r="CL20" s="21">
        <v>478</v>
      </c>
      <c r="CM20" s="21">
        <v>537</v>
      </c>
      <c r="CN20" s="21">
        <v>609</v>
      </c>
      <c r="CO20" s="21">
        <v>488</v>
      </c>
      <c r="CP20" s="21">
        <v>428</v>
      </c>
      <c r="CQ20" s="21">
        <v>495</v>
      </c>
      <c r="CR20" s="21">
        <v>577</v>
      </c>
      <c r="CS20" s="21">
        <v>695</v>
      </c>
      <c r="CT20" s="21">
        <v>583</v>
      </c>
      <c r="CU20" s="21">
        <v>678</v>
      </c>
      <c r="CV20" s="21">
        <v>516</v>
      </c>
      <c r="CW20" s="21">
        <v>456</v>
      </c>
      <c r="CX20" s="21">
        <v>495</v>
      </c>
      <c r="CY20" s="21">
        <v>460</v>
      </c>
      <c r="CZ20" s="21"/>
    </row>
    <row r="21" spans="1:104">
      <c r="A21" s="21">
        <v>55</v>
      </c>
      <c r="B21" s="21">
        <v>60</v>
      </c>
      <c r="C21" s="21">
        <f t="shared" si="1"/>
        <v>57.5</v>
      </c>
      <c r="D21" s="21">
        <v>785</v>
      </c>
      <c r="E21" s="21">
        <v>915</v>
      </c>
      <c r="F21" s="21">
        <v>819</v>
      </c>
      <c r="G21" s="21">
        <v>688</v>
      </c>
      <c r="H21" s="21">
        <v>862</v>
      </c>
      <c r="I21" s="21">
        <v>772</v>
      </c>
      <c r="J21" s="21">
        <v>826</v>
      </c>
      <c r="K21" s="21">
        <v>793</v>
      </c>
      <c r="L21" s="21">
        <v>729</v>
      </c>
      <c r="M21" s="21">
        <v>620</v>
      </c>
      <c r="N21" s="21">
        <v>694</v>
      </c>
      <c r="O21" s="21">
        <v>603</v>
      </c>
      <c r="P21" s="21">
        <v>727</v>
      </c>
      <c r="Q21" s="21">
        <v>692</v>
      </c>
      <c r="R21" s="21">
        <v>896</v>
      </c>
      <c r="S21" s="21">
        <v>812</v>
      </c>
      <c r="T21" s="21">
        <v>741</v>
      </c>
      <c r="U21" s="21">
        <v>791</v>
      </c>
      <c r="V21" s="21">
        <v>836</v>
      </c>
      <c r="W21" s="21">
        <v>701</v>
      </c>
      <c r="X21" s="21">
        <v>794</v>
      </c>
      <c r="Y21" s="21">
        <v>811</v>
      </c>
      <c r="Z21" s="21">
        <v>595</v>
      </c>
      <c r="AA21" s="21">
        <v>702</v>
      </c>
      <c r="AB21" s="21">
        <v>751</v>
      </c>
      <c r="AC21" s="21">
        <v>747</v>
      </c>
      <c r="AD21" s="21">
        <v>688</v>
      </c>
      <c r="AE21" s="21">
        <v>668</v>
      </c>
      <c r="AF21" s="21">
        <v>780</v>
      </c>
      <c r="AG21" s="21">
        <v>728</v>
      </c>
      <c r="AH21" s="21">
        <v>664</v>
      </c>
      <c r="AI21" s="21">
        <v>698</v>
      </c>
      <c r="AJ21" s="21">
        <v>647</v>
      </c>
      <c r="AK21" s="21">
        <v>705</v>
      </c>
      <c r="AL21" s="21">
        <v>681</v>
      </c>
      <c r="AM21" s="165">
        <v>745</v>
      </c>
      <c r="AN21" s="166">
        <v>599</v>
      </c>
      <c r="AO21" s="167">
        <v>511</v>
      </c>
      <c r="AP21" s="168">
        <v>677</v>
      </c>
      <c r="AQ21" s="169">
        <v>689</v>
      </c>
      <c r="AR21" s="170">
        <v>652</v>
      </c>
      <c r="AS21" s="171">
        <v>684</v>
      </c>
      <c r="AT21" s="21">
        <v>834</v>
      </c>
      <c r="AU21" s="21">
        <v>680</v>
      </c>
      <c r="AV21" s="172">
        <v>773</v>
      </c>
      <c r="AW21" s="173">
        <v>516</v>
      </c>
      <c r="AX21" s="175">
        <v>708</v>
      </c>
      <c r="AY21" s="176">
        <v>643</v>
      </c>
      <c r="AZ21" s="177">
        <v>605</v>
      </c>
      <c r="BA21" s="178">
        <v>724</v>
      </c>
      <c r="BB21" s="179">
        <v>604</v>
      </c>
      <c r="BC21" s="180">
        <v>778</v>
      </c>
      <c r="BD21" s="181">
        <v>674</v>
      </c>
      <c r="BE21" s="182">
        <v>752</v>
      </c>
      <c r="BF21" s="183">
        <v>647</v>
      </c>
      <c r="BG21" s="184">
        <v>545</v>
      </c>
      <c r="BH21" s="21">
        <v>692</v>
      </c>
      <c r="BI21" s="21">
        <v>655</v>
      </c>
      <c r="BJ21" s="21">
        <v>642</v>
      </c>
      <c r="BK21" s="21">
        <v>599</v>
      </c>
      <c r="BL21" s="21">
        <v>795</v>
      </c>
      <c r="BM21" s="21">
        <v>928</v>
      </c>
      <c r="BN21" s="21">
        <v>1479</v>
      </c>
      <c r="BO21" s="21">
        <v>761</v>
      </c>
      <c r="BP21" s="21">
        <v>763</v>
      </c>
      <c r="BQ21" s="21">
        <v>1003</v>
      </c>
      <c r="BR21" s="21">
        <v>986</v>
      </c>
      <c r="BS21" s="21">
        <v>1771</v>
      </c>
      <c r="BT21" s="21">
        <v>798</v>
      </c>
      <c r="BU21" s="21">
        <v>933</v>
      </c>
      <c r="BV21" s="21">
        <v>1387</v>
      </c>
      <c r="BW21" s="21">
        <v>1309</v>
      </c>
      <c r="BX21" s="21">
        <v>2770</v>
      </c>
      <c r="BY21" s="21">
        <v>894</v>
      </c>
      <c r="BZ21" s="21">
        <v>670</v>
      </c>
      <c r="CA21" s="21">
        <v>1174</v>
      </c>
      <c r="CB21" s="21">
        <v>905</v>
      </c>
      <c r="CC21" s="21">
        <v>1351</v>
      </c>
      <c r="CD21" s="21">
        <v>838</v>
      </c>
      <c r="CE21" s="21">
        <v>712</v>
      </c>
      <c r="CF21" s="21">
        <v>796</v>
      </c>
      <c r="CG21" s="21">
        <v>572</v>
      </c>
      <c r="CH21" s="21">
        <v>856</v>
      </c>
      <c r="CI21" s="21">
        <v>608</v>
      </c>
      <c r="CJ21" s="21">
        <v>762</v>
      </c>
      <c r="CK21" s="21">
        <v>625</v>
      </c>
      <c r="CL21" s="21">
        <v>649</v>
      </c>
      <c r="CM21" s="21">
        <v>687</v>
      </c>
      <c r="CN21" s="21">
        <v>705</v>
      </c>
      <c r="CO21" s="21">
        <v>557</v>
      </c>
      <c r="CP21" s="21">
        <v>844</v>
      </c>
      <c r="CQ21" s="21">
        <v>628</v>
      </c>
      <c r="CR21" s="21">
        <v>745</v>
      </c>
      <c r="CS21" s="21">
        <v>746</v>
      </c>
      <c r="CT21" s="21">
        <v>758</v>
      </c>
      <c r="CU21" s="21">
        <v>759</v>
      </c>
      <c r="CV21" s="21">
        <v>625</v>
      </c>
      <c r="CW21" s="21">
        <v>624</v>
      </c>
      <c r="CX21" s="21">
        <v>713</v>
      </c>
      <c r="CY21" s="21">
        <v>625</v>
      </c>
      <c r="CZ21" s="21"/>
    </row>
    <row r="22" spans="1:104">
      <c r="A22" s="21">
        <v>60</v>
      </c>
      <c r="B22" s="21">
        <v>65</v>
      </c>
      <c r="C22" s="21">
        <f t="shared" si="1"/>
        <v>62.5</v>
      </c>
      <c r="D22" s="21">
        <v>916</v>
      </c>
      <c r="E22" s="21">
        <v>824</v>
      </c>
      <c r="F22" s="21">
        <v>802</v>
      </c>
      <c r="G22" s="21">
        <v>816</v>
      </c>
      <c r="H22" s="21">
        <v>1002</v>
      </c>
      <c r="I22" s="21">
        <v>927</v>
      </c>
      <c r="J22" s="21">
        <v>829</v>
      </c>
      <c r="K22" s="21">
        <v>1050</v>
      </c>
      <c r="L22" s="21">
        <v>728</v>
      </c>
      <c r="M22" s="21">
        <v>725</v>
      </c>
      <c r="N22" s="21">
        <v>864</v>
      </c>
      <c r="O22" s="21">
        <v>757</v>
      </c>
      <c r="P22" s="21">
        <v>823</v>
      </c>
      <c r="Q22" s="21">
        <v>797</v>
      </c>
      <c r="R22" s="21">
        <v>854</v>
      </c>
      <c r="S22" s="21">
        <v>767</v>
      </c>
      <c r="T22" s="21">
        <v>843</v>
      </c>
      <c r="U22" s="21">
        <v>943</v>
      </c>
      <c r="V22" s="21">
        <v>1037</v>
      </c>
      <c r="W22" s="21">
        <v>991</v>
      </c>
      <c r="X22" s="21">
        <v>879</v>
      </c>
      <c r="Y22" s="21">
        <v>766</v>
      </c>
      <c r="Z22" s="21">
        <v>883</v>
      </c>
      <c r="AA22" s="21">
        <v>921</v>
      </c>
      <c r="AB22" s="21">
        <v>959</v>
      </c>
      <c r="AC22" s="21">
        <v>823</v>
      </c>
      <c r="AD22" s="21">
        <v>946</v>
      </c>
      <c r="AE22" s="21">
        <v>941</v>
      </c>
      <c r="AF22" s="21">
        <v>964</v>
      </c>
      <c r="AG22" s="21">
        <v>982</v>
      </c>
      <c r="AH22" s="21">
        <v>971</v>
      </c>
      <c r="AI22" s="21">
        <v>847</v>
      </c>
      <c r="AJ22" s="21">
        <v>904</v>
      </c>
      <c r="AK22" s="21">
        <v>908</v>
      </c>
      <c r="AL22" s="21">
        <v>821</v>
      </c>
      <c r="AM22" s="165">
        <v>1009</v>
      </c>
      <c r="AN22" s="166">
        <v>911</v>
      </c>
      <c r="AO22" s="167">
        <v>735</v>
      </c>
      <c r="AP22" s="168">
        <v>848</v>
      </c>
      <c r="AQ22" s="169">
        <v>894</v>
      </c>
      <c r="AR22" s="170">
        <v>846</v>
      </c>
      <c r="AS22" s="171">
        <v>856</v>
      </c>
      <c r="AT22" s="21">
        <v>787</v>
      </c>
      <c r="AU22" s="21">
        <v>890</v>
      </c>
      <c r="AV22" s="172">
        <v>836</v>
      </c>
      <c r="AW22" s="173">
        <v>726</v>
      </c>
      <c r="AX22" s="175">
        <v>766</v>
      </c>
      <c r="AY22" s="176">
        <v>856</v>
      </c>
      <c r="AZ22" s="177">
        <v>742</v>
      </c>
      <c r="BA22" s="178">
        <v>931</v>
      </c>
      <c r="BB22" s="179">
        <v>1029</v>
      </c>
      <c r="BC22" s="180">
        <v>1006</v>
      </c>
      <c r="BD22" s="181">
        <v>783</v>
      </c>
      <c r="BE22" s="182">
        <v>865</v>
      </c>
      <c r="BF22" s="183">
        <v>871</v>
      </c>
      <c r="BG22" s="184">
        <v>936</v>
      </c>
      <c r="BH22" s="21">
        <v>941</v>
      </c>
      <c r="BI22" s="21">
        <v>894</v>
      </c>
      <c r="BJ22" s="21">
        <v>880</v>
      </c>
      <c r="BK22" s="21">
        <v>1061</v>
      </c>
      <c r="BL22" s="21">
        <v>1066</v>
      </c>
      <c r="BM22" s="21">
        <v>1249</v>
      </c>
      <c r="BN22" s="21">
        <v>1001</v>
      </c>
      <c r="BO22" s="21">
        <v>716</v>
      </c>
      <c r="BP22" s="21">
        <v>789</v>
      </c>
      <c r="BQ22" s="21">
        <v>1005</v>
      </c>
      <c r="BR22" s="21">
        <v>1046</v>
      </c>
      <c r="BS22" s="21">
        <v>3190</v>
      </c>
      <c r="BT22" s="21">
        <v>1094</v>
      </c>
      <c r="BU22" s="21">
        <v>1114</v>
      </c>
      <c r="BV22" s="21">
        <v>1735</v>
      </c>
      <c r="BW22" s="21">
        <v>1228</v>
      </c>
      <c r="BX22" s="21">
        <v>1639</v>
      </c>
      <c r="BY22" s="21">
        <v>905</v>
      </c>
      <c r="BZ22" s="21">
        <v>611</v>
      </c>
      <c r="CA22" s="21">
        <v>902</v>
      </c>
      <c r="CB22" s="21">
        <v>916</v>
      </c>
      <c r="CC22" s="21">
        <v>1193</v>
      </c>
      <c r="CD22" s="21">
        <v>935</v>
      </c>
      <c r="CE22" s="21">
        <v>945</v>
      </c>
      <c r="CF22" s="21">
        <v>757</v>
      </c>
      <c r="CG22" s="21">
        <v>901</v>
      </c>
      <c r="CH22" s="21">
        <v>831</v>
      </c>
      <c r="CI22" s="21">
        <v>703</v>
      </c>
      <c r="CJ22" s="21">
        <v>829</v>
      </c>
      <c r="CK22" s="21">
        <v>703</v>
      </c>
      <c r="CL22" s="21">
        <v>854</v>
      </c>
      <c r="CM22" s="21">
        <v>858</v>
      </c>
      <c r="CN22" s="21">
        <v>881</v>
      </c>
      <c r="CO22" s="21">
        <v>659</v>
      </c>
      <c r="CP22" s="21">
        <v>1049</v>
      </c>
      <c r="CQ22" s="21">
        <v>960</v>
      </c>
      <c r="CR22" s="21">
        <v>967</v>
      </c>
      <c r="CS22" s="21">
        <v>814</v>
      </c>
      <c r="CT22" s="21">
        <v>996</v>
      </c>
      <c r="CU22" s="21">
        <v>910</v>
      </c>
      <c r="CV22" s="21">
        <v>882</v>
      </c>
      <c r="CW22" s="21">
        <v>950</v>
      </c>
      <c r="CX22" s="21">
        <v>962</v>
      </c>
      <c r="CY22" s="21">
        <v>908</v>
      </c>
      <c r="CZ22" s="21"/>
    </row>
    <row r="23" spans="1:104">
      <c r="A23" s="21">
        <v>65</v>
      </c>
      <c r="B23" s="21">
        <v>70</v>
      </c>
      <c r="C23" s="21">
        <f t="shared" si="1"/>
        <v>67.5</v>
      </c>
      <c r="D23" s="21">
        <v>678</v>
      </c>
      <c r="E23" s="21">
        <v>773</v>
      </c>
      <c r="F23" s="21">
        <v>915</v>
      </c>
      <c r="G23" s="21">
        <v>688</v>
      </c>
      <c r="H23" s="21">
        <v>796</v>
      </c>
      <c r="I23" s="21">
        <v>762</v>
      </c>
      <c r="J23" s="21">
        <v>744</v>
      </c>
      <c r="K23" s="21">
        <v>718</v>
      </c>
      <c r="L23" s="21">
        <v>656</v>
      </c>
      <c r="M23" s="21">
        <v>452</v>
      </c>
      <c r="N23" s="21">
        <v>609</v>
      </c>
      <c r="O23" s="21">
        <v>537</v>
      </c>
      <c r="P23" s="21">
        <v>615</v>
      </c>
      <c r="Q23" s="21">
        <v>620</v>
      </c>
      <c r="R23" s="21">
        <v>834</v>
      </c>
      <c r="S23" s="21">
        <v>817</v>
      </c>
      <c r="T23" s="21">
        <v>749</v>
      </c>
      <c r="U23" s="21">
        <v>682</v>
      </c>
      <c r="V23" s="21">
        <v>606</v>
      </c>
      <c r="W23" s="21">
        <v>735</v>
      </c>
      <c r="X23" s="21">
        <v>646</v>
      </c>
      <c r="Y23" s="21">
        <v>793</v>
      </c>
      <c r="Z23" s="21">
        <v>768</v>
      </c>
      <c r="AA23" s="21">
        <v>832</v>
      </c>
      <c r="AB23" s="21">
        <v>697</v>
      </c>
      <c r="AC23" s="21">
        <v>764</v>
      </c>
      <c r="AD23" s="21">
        <v>841</v>
      </c>
      <c r="AE23" s="21">
        <v>920</v>
      </c>
      <c r="AF23" s="21">
        <v>808</v>
      </c>
      <c r="AG23" s="21">
        <v>726</v>
      </c>
      <c r="AH23" s="21">
        <v>899</v>
      </c>
      <c r="AI23" s="21">
        <v>804</v>
      </c>
      <c r="AJ23" s="21">
        <v>813</v>
      </c>
      <c r="AK23" s="21">
        <v>725</v>
      </c>
      <c r="AL23" s="21">
        <v>699</v>
      </c>
      <c r="AM23" s="165">
        <v>913</v>
      </c>
      <c r="AN23" s="166">
        <v>820</v>
      </c>
      <c r="AO23" s="167">
        <v>763</v>
      </c>
      <c r="AP23" s="168">
        <v>767</v>
      </c>
      <c r="AQ23" s="169">
        <v>788</v>
      </c>
      <c r="AR23" s="170">
        <v>727</v>
      </c>
      <c r="AS23" s="171">
        <v>703</v>
      </c>
      <c r="AT23" s="21">
        <v>747</v>
      </c>
      <c r="AU23" s="21">
        <v>653</v>
      </c>
      <c r="AV23" s="172">
        <v>506</v>
      </c>
      <c r="AW23" s="173">
        <v>711</v>
      </c>
      <c r="AX23" s="175">
        <v>526</v>
      </c>
      <c r="AY23" s="176">
        <v>647</v>
      </c>
      <c r="AZ23" s="177">
        <v>743</v>
      </c>
      <c r="BA23" s="178">
        <v>886</v>
      </c>
      <c r="BB23" s="179">
        <v>754</v>
      </c>
      <c r="BC23" s="180">
        <v>921</v>
      </c>
      <c r="BD23" s="181">
        <v>605</v>
      </c>
      <c r="BE23" s="182">
        <v>616</v>
      </c>
      <c r="BF23" s="183">
        <v>675</v>
      </c>
      <c r="BG23" s="184">
        <v>692</v>
      </c>
      <c r="BH23" s="21">
        <v>824</v>
      </c>
      <c r="BI23" s="21">
        <v>846</v>
      </c>
      <c r="BJ23" s="21">
        <v>800</v>
      </c>
      <c r="BK23" s="21">
        <v>1125</v>
      </c>
      <c r="BL23" s="21">
        <v>944</v>
      </c>
      <c r="BM23" s="21">
        <v>1051</v>
      </c>
      <c r="BN23" s="21">
        <v>505</v>
      </c>
      <c r="BO23" s="21">
        <v>467</v>
      </c>
      <c r="BP23" s="21">
        <v>599</v>
      </c>
      <c r="BQ23" s="21">
        <v>906</v>
      </c>
      <c r="BR23" s="21">
        <v>897</v>
      </c>
      <c r="BS23" s="21">
        <v>1903</v>
      </c>
      <c r="BT23" s="21">
        <v>908</v>
      </c>
      <c r="BU23" s="21">
        <v>771</v>
      </c>
      <c r="BV23" s="21">
        <v>1022</v>
      </c>
      <c r="BW23" s="21">
        <v>701</v>
      </c>
      <c r="BX23" s="21">
        <v>653</v>
      </c>
      <c r="BY23" s="21">
        <v>833</v>
      </c>
      <c r="BZ23" s="21">
        <v>469</v>
      </c>
      <c r="CA23" s="21">
        <v>459</v>
      </c>
      <c r="CB23" s="21">
        <v>598</v>
      </c>
      <c r="CC23" s="21">
        <v>597</v>
      </c>
      <c r="CD23" s="21">
        <v>616</v>
      </c>
      <c r="CE23" s="21">
        <v>694</v>
      </c>
      <c r="CF23" s="21">
        <v>561</v>
      </c>
      <c r="CG23" s="21">
        <v>722</v>
      </c>
      <c r="CH23" s="21">
        <v>579</v>
      </c>
      <c r="CI23" s="21">
        <v>486</v>
      </c>
      <c r="CJ23" s="21">
        <v>564</v>
      </c>
      <c r="CK23" s="21">
        <v>408</v>
      </c>
      <c r="CL23" s="21">
        <v>769</v>
      </c>
      <c r="CM23" s="21">
        <v>905</v>
      </c>
      <c r="CN23" s="21">
        <v>789</v>
      </c>
      <c r="CO23" s="21">
        <v>743</v>
      </c>
      <c r="CP23" s="21">
        <v>897</v>
      </c>
      <c r="CQ23" s="21">
        <v>895</v>
      </c>
      <c r="CR23" s="21">
        <v>869</v>
      </c>
      <c r="CS23" s="21">
        <v>872</v>
      </c>
      <c r="CT23" s="21">
        <v>731</v>
      </c>
      <c r="CU23" s="21">
        <v>864</v>
      </c>
      <c r="CV23" s="21">
        <v>886</v>
      </c>
      <c r="CW23" s="21">
        <v>908</v>
      </c>
      <c r="CX23" s="21">
        <v>928</v>
      </c>
      <c r="CY23" s="21">
        <v>937</v>
      </c>
      <c r="CZ23" s="21"/>
    </row>
    <row r="24" spans="1:104">
      <c r="A24" s="21">
        <v>70</v>
      </c>
      <c r="B24" s="21">
        <v>75</v>
      </c>
      <c r="C24" s="21">
        <f t="shared" si="1"/>
        <v>72.5</v>
      </c>
      <c r="D24" s="21">
        <v>528</v>
      </c>
      <c r="E24" s="21">
        <v>608</v>
      </c>
      <c r="F24" s="21">
        <v>786</v>
      </c>
      <c r="G24" s="21">
        <v>743</v>
      </c>
      <c r="H24" s="21">
        <v>601</v>
      </c>
      <c r="I24" s="21">
        <v>595</v>
      </c>
      <c r="J24" s="21">
        <v>495</v>
      </c>
      <c r="K24" s="21">
        <v>423</v>
      </c>
      <c r="L24" s="21">
        <v>379</v>
      </c>
      <c r="M24" s="21">
        <v>239</v>
      </c>
      <c r="N24" s="21">
        <v>359</v>
      </c>
      <c r="O24" s="21">
        <v>330</v>
      </c>
      <c r="P24" s="21">
        <v>402</v>
      </c>
      <c r="Q24" s="21">
        <v>533</v>
      </c>
      <c r="R24" s="21">
        <v>659</v>
      </c>
      <c r="S24" s="21">
        <v>632</v>
      </c>
      <c r="T24" s="21">
        <v>671</v>
      </c>
      <c r="U24" s="21">
        <v>497</v>
      </c>
      <c r="V24" s="21">
        <v>378</v>
      </c>
      <c r="W24" s="21">
        <v>503</v>
      </c>
      <c r="X24" s="21">
        <v>401</v>
      </c>
      <c r="Y24" s="21">
        <v>691</v>
      </c>
      <c r="Z24" s="21">
        <v>714</v>
      </c>
      <c r="AA24" s="21">
        <v>469</v>
      </c>
      <c r="AB24" s="21">
        <v>515</v>
      </c>
      <c r="AC24" s="21">
        <v>455</v>
      </c>
      <c r="AD24" s="21">
        <v>542</v>
      </c>
      <c r="AE24" s="21">
        <v>623</v>
      </c>
      <c r="AF24" s="21">
        <v>676</v>
      </c>
      <c r="AG24" s="21">
        <v>586</v>
      </c>
      <c r="AH24" s="21">
        <v>469</v>
      </c>
      <c r="AI24" s="21">
        <v>559</v>
      </c>
      <c r="AJ24" s="21">
        <v>556</v>
      </c>
      <c r="AK24" s="21">
        <v>474</v>
      </c>
      <c r="AL24" s="21">
        <v>505</v>
      </c>
      <c r="AM24" s="165">
        <v>886</v>
      </c>
      <c r="AN24" s="166">
        <v>866</v>
      </c>
      <c r="AO24" s="167">
        <v>607</v>
      </c>
      <c r="AP24" s="168">
        <v>538</v>
      </c>
      <c r="AQ24" s="169">
        <v>689</v>
      </c>
      <c r="AR24" s="170">
        <v>546</v>
      </c>
      <c r="AS24" s="171">
        <v>525</v>
      </c>
      <c r="AT24" s="21">
        <v>506</v>
      </c>
      <c r="AU24" s="21">
        <v>380</v>
      </c>
      <c r="AV24" s="172">
        <v>260</v>
      </c>
      <c r="AW24" s="173">
        <v>534</v>
      </c>
      <c r="AX24" s="175">
        <v>356</v>
      </c>
      <c r="AY24" s="176">
        <v>377</v>
      </c>
      <c r="AZ24" s="177">
        <v>584</v>
      </c>
      <c r="BA24" s="178">
        <v>734</v>
      </c>
      <c r="BB24" s="179">
        <v>617</v>
      </c>
      <c r="BC24" s="180">
        <v>646</v>
      </c>
      <c r="BD24" s="181">
        <v>410</v>
      </c>
      <c r="BE24" s="182">
        <v>457</v>
      </c>
      <c r="BF24" s="183">
        <v>445</v>
      </c>
      <c r="BG24" s="184">
        <v>497</v>
      </c>
      <c r="BH24" s="21">
        <v>651</v>
      </c>
      <c r="BI24" s="21">
        <v>619</v>
      </c>
      <c r="BJ24" s="21">
        <v>673</v>
      </c>
      <c r="BK24" s="21">
        <v>1285</v>
      </c>
      <c r="BL24" s="21">
        <v>977</v>
      </c>
      <c r="BM24" s="21">
        <v>591</v>
      </c>
      <c r="BN24" s="21">
        <v>285</v>
      </c>
      <c r="BO24" s="21">
        <v>314</v>
      </c>
      <c r="BP24" s="21">
        <v>400</v>
      </c>
      <c r="BQ24" s="21">
        <v>700</v>
      </c>
      <c r="BR24" s="21">
        <v>607</v>
      </c>
      <c r="BS24" s="21">
        <v>671</v>
      </c>
      <c r="BT24" s="21">
        <v>778</v>
      </c>
      <c r="BU24" s="21">
        <v>530</v>
      </c>
      <c r="BV24" s="21">
        <v>610</v>
      </c>
      <c r="BW24" s="21">
        <v>457</v>
      </c>
      <c r="BX24" s="21">
        <v>200</v>
      </c>
      <c r="BY24" s="21">
        <v>624</v>
      </c>
      <c r="BZ24" s="21">
        <v>326</v>
      </c>
      <c r="CA24" s="21">
        <v>293</v>
      </c>
      <c r="CB24" s="21">
        <v>334</v>
      </c>
      <c r="CC24" s="21">
        <v>337</v>
      </c>
      <c r="CD24" s="21">
        <v>409</v>
      </c>
      <c r="CE24" s="21">
        <v>390</v>
      </c>
      <c r="CF24" s="21">
        <v>353</v>
      </c>
      <c r="CG24" s="21">
        <v>498</v>
      </c>
      <c r="CH24" s="21">
        <v>354</v>
      </c>
      <c r="CI24" s="21">
        <v>334</v>
      </c>
      <c r="CJ24" s="21">
        <v>381</v>
      </c>
      <c r="CK24" s="21">
        <v>258</v>
      </c>
      <c r="CL24" s="21">
        <v>585</v>
      </c>
      <c r="CM24" s="21">
        <v>709</v>
      </c>
      <c r="CN24" s="21">
        <v>613</v>
      </c>
      <c r="CO24" s="21">
        <v>777</v>
      </c>
      <c r="CP24" s="21">
        <v>645</v>
      </c>
      <c r="CQ24" s="21">
        <v>688</v>
      </c>
      <c r="CR24" s="21">
        <v>570</v>
      </c>
      <c r="CS24" s="21">
        <v>756</v>
      </c>
      <c r="CT24" s="21">
        <v>415</v>
      </c>
      <c r="CU24" s="21">
        <v>795</v>
      </c>
      <c r="CV24" s="21">
        <v>897</v>
      </c>
      <c r="CW24" s="21">
        <v>988</v>
      </c>
      <c r="CX24" s="21">
        <v>721</v>
      </c>
      <c r="CY24" s="21">
        <v>908</v>
      </c>
      <c r="CZ24" s="21"/>
    </row>
    <row r="25" spans="1:104">
      <c r="A25" s="21">
        <v>75</v>
      </c>
      <c r="B25" s="21">
        <v>80</v>
      </c>
      <c r="C25" s="21">
        <f t="shared" si="1"/>
        <v>77.5</v>
      </c>
      <c r="D25" s="21">
        <v>456</v>
      </c>
      <c r="E25" s="21">
        <v>524</v>
      </c>
      <c r="F25" s="21">
        <v>593</v>
      </c>
      <c r="G25" s="21">
        <v>709</v>
      </c>
      <c r="H25" s="21">
        <v>319</v>
      </c>
      <c r="I25" s="21">
        <v>445</v>
      </c>
      <c r="J25" s="21">
        <v>391</v>
      </c>
      <c r="K25" s="21">
        <v>336</v>
      </c>
      <c r="L25" s="21">
        <v>277</v>
      </c>
      <c r="M25" s="21">
        <v>235</v>
      </c>
      <c r="N25" s="21">
        <v>245</v>
      </c>
      <c r="O25" s="21">
        <v>249</v>
      </c>
      <c r="P25" s="21">
        <v>347</v>
      </c>
      <c r="Q25" s="21">
        <v>426</v>
      </c>
      <c r="R25" s="21">
        <v>618</v>
      </c>
      <c r="S25" s="21">
        <v>721</v>
      </c>
      <c r="T25" s="21">
        <v>625</v>
      </c>
      <c r="U25" s="21">
        <v>420</v>
      </c>
      <c r="V25" s="21">
        <v>322</v>
      </c>
      <c r="W25" s="21">
        <v>414</v>
      </c>
      <c r="X25" s="21">
        <v>220</v>
      </c>
      <c r="Y25" s="21">
        <v>686</v>
      </c>
      <c r="Z25" s="21">
        <v>750</v>
      </c>
      <c r="AA25" s="21">
        <v>515</v>
      </c>
      <c r="AB25" s="21">
        <v>466</v>
      </c>
      <c r="AC25" s="21">
        <v>385</v>
      </c>
      <c r="AD25" s="21">
        <v>508</v>
      </c>
      <c r="AE25" s="21">
        <v>556</v>
      </c>
      <c r="AF25" s="21">
        <v>645</v>
      </c>
      <c r="AG25" s="21">
        <v>466</v>
      </c>
      <c r="AH25" s="21">
        <v>376</v>
      </c>
      <c r="AI25" s="21">
        <v>425</v>
      </c>
      <c r="AJ25" s="21">
        <v>475</v>
      </c>
      <c r="AK25" s="21">
        <v>321</v>
      </c>
      <c r="AL25" s="21">
        <v>387</v>
      </c>
      <c r="AM25" s="165">
        <v>650</v>
      </c>
      <c r="AN25" s="166">
        <v>731</v>
      </c>
      <c r="AO25" s="167">
        <v>644</v>
      </c>
      <c r="AP25" s="168">
        <v>531</v>
      </c>
      <c r="AQ25" s="169">
        <v>679</v>
      </c>
      <c r="AR25" s="170">
        <v>535</v>
      </c>
      <c r="AS25" s="171">
        <v>488</v>
      </c>
      <c r="AT25" s="21">
        <v>361</v>
      </c>
      <c r="AU25" s="21">
        <v>288</v>
      </c>
      <c r="AV25" s="172">
        <v>191</v>
      </c>
      <c r="AW25" s="173">
        <v>499</v>
      </c>
      <c r="AX25" s="175">
        <v>354</v>
      </c>
      <c r="AY25" s="176">
        <v>452</v>
      </c>
      <c r="AZ25" s="177">
        <v>634</v>
      </c>
      <c r="BA25" s="178">
        <v>528</v>
      </c>
      <c r="BB25" s="179">
        <v>523</v>
      </c>
      <c r="BC25" s="180">
        <v>578</v>
      </c>
      <c r="BD25" s="181">
        <v>340</v>
      </c>
      <c r="BE25" s="182">
        <v>455</v>
      </c>
      <c r="BF25" s="183">
        <v>398</v>
      </c>
      <c r="BG25" s="184">
        <v>400</v>
      </c>
      <c r="BH25" s="21">
        <v>750</v>
      </c>
      <c r="BI25" s="21">
        <v>483</v>
      </c>
      <c r="BJ25" s="21">
        <v>587</v>
      </c>
      <c r="BK25" s="21">
        <v>2064</v>
      </c>
      <c r="BL25" s="21">
        <v>879</v>
      </c>
      <c r="BM25" s="21">
        <v>493</v>
      </c>
      <c r="BN25" s="21">
        <v>155</v>
      </c>
      <c r="BO25" s="21">
        <v>278</v>
      </c>
      <c r="BP25" s="21">
        <v>377</v>
      </c>
      <c r="BQ25" s="21">
        <v>774</v>
      </c>
      <c r="BR25" s="21">
        <v>649</v>
      </c>
      <c r="BS25" s="21">
        <v>157</v>
      </c>
      <c r="BT25" s="21">
        <v>817</v>
      </c>
      <c r="BU25" s="21">
        <v>551</v>
      </c>
      <c r="BV25" s="21">
        <v>565</v>
      </c>
      <c r="BW25" s="21">
        <v>477</v>
      </c>
      <c r="BX25" s="21">
        <v>82</v>
      </c>
      <c r="BY25" s="21">
        <v>610</v>
      </c>
      <c r="BZ25" s="21">
        <v>301</v>
      </c>
      <c r="CA25" s="21">
        <v>280</v>
      </c>
      <c r="CB25" s="21">
        <v>357</v>
      </c>
      <c r="CC25" s="21">
        <v>284</v>
      </c>
      <c r="CD25" s="21">
        <v>370</v>
      </c>
      <c r="CE25" s="21">
        <v>412</v>
      </c>
      <c r="CF25" s="21">
        <v>343</v>
      </c>
      <c r="CG25" s="21">
        <v>483</v>
      </c>
      <c r="CH25" s="21">
        <v>377</v>
      </c>
      <c r="CI25" s="21">
        <v>344</v>
      </c>
      <c r="CJ25" s="21">
        <v>396</v>
      </c>
      <c r="CK25" s="21">
        <v>294</v>
      </c>
      <c r="CL25" s="21">
        <v>580</v>
      </c>
      <c r="CM25" s="21">
        <v>685</v>
      </c>
      <c r="CN25" s="21">
        <v>617</v>
      </c>
      <c r="CO25" s="21">
        <v>803</v>
      </c>
      <c r="CP25" s="21">
        <v>633</v>
      </c>
      <c r="CQ25" s="21">
        <v>728</v>
      </c>
      <c r="CR25" s="21">
        <v>592</v>
      </c>
      <c r="CS25" s="21">
        <v>794</v>
      </c>
      <c r="CT25" s="21">
        <v>458</v>
      </c>
      <c r="CU25" s="21">
        <v>862</v>
      </c>
      <c r="CV25" s="21">
        <v>1101</v>
      </c>
      <c r="CW25" s="21">
        <v>1525</v>
      </c>
      <c r="CX25" s="21">
        <v>757</v>
      </c>
      <c r="CY25" s="21">
        <v>1448</v>
      </c>
      <c r="CZ25" s="21"/>
    </row>
    <row r="26" spans="1:104">
      <c r="A26" s="21">
        <v>80</v>
      </c>
      <c r="B26" s="21">
        <v>85</v>
      </c>
      <c r="C26" s="21">
        <f t="shared" si="1"/>
        <v>82.5</v>
      </c>
      <c r="D26" s="21">
        <v>356</v>
      </c>
      <c r="E26" s="21">
        <v>221</v>
      </c>
      <c r="F26" s="21">
        <v>351</v>
      </c>
      <c r="G26" s="21">
        <v>510</v>
      </c>
      <c r="H26" s="21">
        <v>84</v>
      </c>
      <c r="I26" s="21">
        <v>269</v>
      </c>
      <c r="J26" s="21">
        <v>293</v>
      </c>
      <c r="K26" s="21">
        <v>125</v>
      </c>
      <c r="L26" s="21">
        <v>225</v>
      </c>
      <c r="M26" s="21">
        <v>103</v>
      </c>
      <c r="N26" s="21">
        <v>139</v>
      </c>
      <c r="O26" s="21">
        <v>90</v>
      </c>
      <c r="P26" s="21">
        <v>243</v>
      </c>
      <c r="Q26" s="21">
        <v>271</v>
      </c>
      <c r="R26" s="21">
        <v>450</v>
      </c>
      <c r="S26" s="21">
        <v>487</v>
      </c>
      <c r="T26" s="21">
        <v>491</v>
      </c>
      <c r="U26" s="21">
        <v>274</v>
      </c>
      <c r="V26" s="21">
        <v>172</v>
      </c>
      <c r="W26" s="21">
        <v>205</v>
      </c>
      <c r="X26" s="21">
        <v>115</v>
      </c>
      <c r="Y26" s="21">
        <v>426</v>
      </c>
      <c r="Z26" s="21">
        <v>443</v>
      </c>
      <c r="AA26" s="21">
        <v>309</v>
      </c>
      <c r="AB26" s="21">
        <v>279</v>
      </c>
      <c r="AC26" s="21">
        <v>159</v>
      </c>
      <c r="AD26" s="21">
        <v>403</v>
      </c>
      <c r="AE26" s="21">
        <v>463</v>
      </c>
      <c r="AF26" s="21">
        <v>505</v>
      </c>
      <c r="AG26" s="21">
        <v>417</v>
      </c>
      <c r="AH26" s="21">
        <v>310</v>
      </c>
      <c r="AI26" s="21">
        <v>209</v>
      </c>
      <c r="AJ26" s="21">
        <v>298</v>
      </c>
      <c r="AK26" s="21">
        <v>188</v>
      </c>
      <c r="AL26" s="21">
        <v>206</v>
      </c>
      <c r="AM26" s="165">
        <v>485</v>
      </c>
      <c r="AN26" s="166">
        <v>633</v>
      </c>
      <c r="AO26" s="167">
        <v>555</v>
      </c>
      <c r="AP26" s="168">
        <v>428</v>
      </c>
      <c r="AQ26" s="169">
        <v>489</v>
      </c>
      <c r="AR26" s="170">
        <v>294</v>
      </c>
      <c r="AS26" s="171">
        <v>295</v>
      </c>
      <c r="AT26" s="21">
        <v>228</v>
      </c>
      <c r="AU26" s="21">
        <v>229</v>
      </c>
      <c r="AV26" s="172">
        <v>72</v>
      </c>
      <c r="AW26" s="173">
        <v>342</v>
      </c>
      <c r="AX26" s="175">
        <v>322</v>
      </c>
      <c r="AY26" s="176">
        <v>354</v>
      </c>
      <c r="AZ26" s="177">
        <v>557</v>
      </c>
      <c r="BA26" s="178">
        <v>377</v>
      </c>
      <c r="BB26" s="179">
        <v>359</v>
      </c>
      <c r="BC26" s="180">
        <v>345</v>
      </c>
      <c r="BD26" s="181">
        <v>284</v>
      </c>
      <c r="BE26" s="182">
        <v>374</v>
      </c>
      <c r="BF26" s="183">
        <v>275</v>
      </c>
      <c r="BG26" s="184">
        <v>225</v>
      </c>
      <c r="BH26" s="21">
        <v>681</v>
      </c>
      <c r="BI26" s="21">
        <v>365</v>
      </c>
      <c r="BJ26" s="21">
        <v>527</v>
      </c>
      <c r="BK26" s="21">
        <v>1149</v>
      </c>
      <c r="BL26" s="21">
        <v>703</v>
      </c>
      <c r="BM26" s="21">
        <v>394</v>
      </c>
      <c r="BN26" s="21">
        <v>72</v>
      </c>
      <c r="BO26" s="21">
        <v>255</v>
      </c>
      <c r="BP26" s="21">
        <v>328</v>
      </c>
      <c r="BQ26" s="21">
        <v>699</v>
      </c>
      <c r="BR26" s="21">
        <v>622</v>
      </c>
      <c r="BS26" s="21">
        <v>29</v>
      </c>
      <c r="BT26" s="21">
        <v>903</v>
      </c>
      <c r="BU26" s="21">
        <v>530</v>
      </c>
      <c r="BV26" s="21">
        <v>475</v>
      </c>
      <c r="BW26" s="21">
        <v>514</v>
      </c>
      <c r="BX26" s="21">
        <v>44</v>
      </c>
      <c r="BY26" s="21">
        <v>474</v>
      </c>
      <c r="BZ26" s="21">
        <v>243</v>
      </c>
      <c r="CA26" s="21">
        <v>199</v>
      </c>
      <c r="CB26" s="21">
        <v>323</v>
      </c>
      <c r="CC26" s="21">
        <v>194</v>
      </c>
      <c r="CD26" s="21">
        <v>336</v>
      </c>
      <c r="CE26" s="21">
        <v>412</v>
      </c>
      <c r="CF26" s="21">
        <v>274</v>
      </c>
      <c r="CG26" s="21">
        <v>492</v>
      </c>
      <c r="CH26" s="21">
        <v>334</v>
      </c>
      <c r="CI26" s="21">
        <v>333</v>
      </c>
      <c r="CJ26" s="21">
        <v>310</v>
      </c>
      <c r="CK26" s="21">
        <v>253</v>
      </c>
      <c r="CL26" s="21">
        <v>506</v>
      </c>
      <c r="CM26" s="21">
        <v>529</v>
      </c>
      <c r="CN26" s="21">
        <v>580</v>
      </c>
      <c r="CO26" s="21">
        <v>663</v>
      </c>
      <c r="CP26" s="21">
        <v>547</v>
      </c>
      <c r="CQ26" s="21">
        <v>603</v>
      </c>
      <c r="CR26" s="21">
        <v>490</v>
      </c>
      <c r="CS26" s="21">
        <v>687</v>
      </c>
      <c r="CT26" s="21">
        <v>439</v>
      </c>
      <c r="CU26" s="21">
        <v>832</v>
      </c>
      <c r="CV26" s="21">
        <v>977</v>
      </c>
      <c r="CW26" s="21">
        <v>1137</v>
      </c>
      <c r="CX26" s="21">
        <v>642</v>
      </c>
      <c r="CY26" s="21">
        <v>1047</v>
      </c>
      <c r="CZ26" s="21"/>
    </row>
    <row r="27" spans="1:104">
      <c r="A27" s="21">
        <v>85</v>
      </c>
      <c r="B27" s="21">
        <v>90</v>
      </c>
      <c r="C27" s="21">
        <f t="shared" si="1"/>
        <v>87.5</v>
      </c>
      <c r="D27" s="21">
        <v>127</v>
      </c>
      <c r="E27" s="21">
        <v>59</v>
      </c>
      <c r="F27" s="21">
        <v>136</v>
      </c>
      <c r="G27" s="21">
        <v>175</v>
      </c>
      <c r="H27" s="21">
        <v>20</v>
      </c>
      <c r="I27" s="21">
        <v>74</v>
      </c>
      <c r="J27" s="21">
        <v>61</v>
      </c>
      <c r="K27" s="21">
        <v>25</v>
      </c>
      <c r="L27" s="21">
        <v>76</v>
      </c>
      <c r="M27" s="21">
        <v>24</v>
      </c>
      <c r="N27" s="21">
        <v>44</v>
      </c>
      <c r="O27" s="21">
        <v>10</v>
      </c>
      <c r="P27" s="21">
        <v>45</v>
      </c>
      <c r="Q27" s="21">
        <v>127</v>
      </c>
      <c r="R27" s="21">
        <v>98</v>
      </c>
      <c r="S27" s="21">
        <v>229</v>
      </c>
      <c r="T27" s="21">
        <v>208</v>
      </c>
      <c r="U27" s="21">
        <v>61</v>
      </c>
      <c r="V27" s="21">
        <v>45</v>
      </c>
      <c r="W27" s="21">
        <v>26</v>
      </c>
      <c r="X27" s="21">
        <v>10</v>
      </c>
      <c r="Y27" s="21">
        <v>106</v>
      </c>
      <c r="Z27" s="21">
        <v>161</v>
      </c>
      <c r="AA27" s="21">
        <v>66</v>
      </c>
      <c r="AB27" s="21">
        <v>62</v>
      </c>
      <c r="AC27" s="21">
        <v>26</v>
      </c>
      <c r="AD27" s="21">
        <v>141</v>
      </c>
      <c r="AE27" s="21">
        <v>128</v>
      </c>
      <c r="AF27" s="21">
        <v>207</v>
      </c>
      <c r="AG27" s="21">
        <v>98</v>
      </c>
      <c r="AH27" s="21">
        <v>75</v>
      </c>
      <c r="AI27" s="21">
        <v>82</v>
      </c>
      <c r="AJ27" s="21">
        <v>76</v>
      </c>
      <c r="AK27" s="21">
        <v>38</v>
      </c>
      <c r="AL27" s="21">
        <v>94</v>
      </c>
      <c r="AM27" s="165">
        <v>167</v>
      </c>
      <c r="AN27" s="166">
        <v>269</v>
      </c>
      <c r="AO27" s="167">
        <v>228</v>
      </c>
      <c r="AP27" s="168">
        <v>160</v>
      </c>
      <c r="AQ27" s="169">
        <v>227</v>
      </c>
      <c r="AR27" s="170">
        <v>109</v>
      </c>
      <c r="AS27" s="171">
        <v>63</v>
      </c>
      <c r="AT27" s="21">
        <v>49</v>
      </c>
      <c r="AU27" s="21">
        <v>63</v>
      </c>
      <c r="AV27" s="172">
        <v>20</v>
      </c>
      <c r="AW27" s="173">
        <v>110</v>
      </c>
      <c r="AX27" s="175">
        <v>124</v>
      </c>
      <c r="AY27" s="176">
        <v>188</v>
      </c>
      <c r="AZ27" s="177">
        <v>275</v>
      </c>
      <c r="BA27" s="178">
        <v>198</v>
      </c>
      <c r="BB27" s="179">
        <v>127</v>
      </c>
      <c r="BC27" s="180">
        <v>66</v>
      </c>
      <c r="BD27" s="181">
        <v>175</v>
      </c>
      <c r="BE27" s="182">
        <v>179</v>
      </c>
      <c r="BF27" s="183">
        <v>62</v>
      </c>
      <c r="BG27" s="184">
        <v>59</v>
      </c>
      <c r="BH27" s="21">
        <v>312</v>
      </c>
      <c r="BI27" s="21">
        <v>128</v>
      </c>
      <c r="BJ27" s="21">
        <v>175</v>
      </c>
      <c r="BK27" s="21">
        <v>595</v>
      </c>
      <c r="BL27" s="21">
        <v>424</v>
      </c>
      <c r="BM27" s="21">
        <v>82</v>
      </c>
      <c r="BN27" s="21">
        <v>17</v>
      </c>
      <c r="BO27" s="21">
        <v>105</v>
      </c>
      <c r="BP27" s="21">
        <v>152</v>
      </c>
      <c r="BQ27" s="21">
        <v>432</v>
      </c>
      <c r="BR27" s="21">
        <v>392</v>
      </c>
      <c r="BS27" s="21">
        <v>2</v>
      </c>
      <c r="BT27" s="21">
        <v>801</v>
      </c>
      <c r="BU27" s="21">
        <v>338</v>
      </c>
      <c r="BV27" s="21">
        <v>347</v>
      </c>
      <c r="BW27" s="21">
        <v>325</v>
      </c>
      <c r="BX27" s="21">
        <v>5</v>
      </c>
      <c r="BY27" s="21">
        <v>371</v>
      </c>
      <c r="BZ27" s="21">
        <v>83</v>
      </c>
      <c r="CA27" s="21">
        <v>74</v>
      </c>
      <c r="CB27" s="21">
        <v>206</v>
      </c>
      <c r="CC27" s="21">
        <v>62</v>
      </c>
      <c r="CD27" s="21">
        <v>151</v>
      </c>
      <c r="CE27" s="21">
        <v>252</v>
      </c>
      <c r="CF27" s="21">
        <v>136</v>
      </c>
      <c r="CG27" s="21">
        <v>313</v>
      </c>
      <c r="CH27" s="21">
        <v>189</v>
      </c>
      <c r="CI27" s="21">
        <v>187</v>
      </c>
      <c r="CJ27" s="21">
        <v>136</v>
      </c>
      <c r="CK27" s="21">
        <v>94</v>
      </c>
      <c r="CL27" s="21">
        <v>277</v>
      </c>
      <c r="CM27" s="21">
        <v>276</v>
      </c>
      <c r="CN27" s="21">
        <v>302</v>
      </c>
      <c r="CO27" s="21">
        <v>430</v>
      </c>
      <c r="CP27" s="21">
        <v>227</v>
      </c>
      <c r="CQ27" s="21">
        <v>270</v>
      </c>
      <c r="CR27" s="21">
        <v>301</v>
      </c>
      <c r="CS27" s="21">
        <v>477</v>
      </c>
      <c r="CT27" s="21">
        <v>150</v>
      </c>
      <c r="CU27" s="21">
        <v>579</v>
      </c>
      <c r="CV27" s="21">
        <v>507</v>
      </c>
      <c r="CW27" s="21">
        <v>543</v>
      </c>
      <c r="CX27" s="21">
        <v>378</v>
      </c>
      <c r="CY27" s="21">
        <v>615</v>
      </c>
      <c r="CZ27" s="21"/>
    </row>
    <row r="28" spans="1:104">
      <c r="A28" s="21">
        <v>90</v>
      </c>
      <c r="B28" s="21">
        <v>95</v>
      </c>
      <c r="C28" s="21">
        <f t="shared" si="1"/>
        <v>92.5</v>
      </c>
      <c r="D28" s="21">
        <v>46</v>
      </c>
      <c r="E28" s="21">
        <v>4</v>
      </c>
      <c r="F28" s="21">
        <v>61</v>
      </c>
      <c r="G28" s="21">
        <v>27</v>
      </c>
      <c r="H28" s="21">
        <v>0</v>
      </c>
      <c r="I28" s="21">
        <v>28</v>
      </c>
      <c r="J28" s="21">
        <v>7</v>
      </c>
      <c r="K28" s="21">
        <v>0</v>
      </c>
      <c r="L28" s="21">
        <v>17</v>
      </c>
      <c r="M28" s="21">
        <v>1</v>
      </c>
      <c r="N28" s="21">
        <v>8</v>
      </c>
      <c r="O28" s="21">
        <v>0</v>
      </c>
      <c r="P28" s="21">
        <v>11</v>
      </c>
      <c r="Q28" s="21">
        <v>40</v>
      </c>
      <c r="R28" s="21">
        <v>22</v>
      </c>
      <c r="S28" s="21">
        <v>59</v>
      </c>
      <c r="T28" s="21">
        <v>121</v>
      </c>
      <c r="U28" s="21">
        <v>17</v>
      </c>
      <c r="V28" s="21">
        <v>3</v>
      </c>
      <c r="W28" s="21">
        <v>0</v>
      </c>
      <c r="X28" s="21">
        <v>1</v>
      </c>
      <c r="Y28" s="21">
        <v>15</v>
      </c>
      <c r="Z28" s="21">
        <v>35</v>
      </c>
      <c r="AA28" s="21">
        <v>11</v>
      </c>
      <c r="AB28" s="21">
        <v>5</v>
      </c>
      <c r="AC28" s="21">
        <v>0</v>
      </c>
      <c r="AD28" s="21">
        <v>24</v>
      </c>
      <c r="AE28" s="21">
        <v>21</v>
      </c>
      <c r="AF28" s="21">
        <v>67</v>
      </c>
      <c r="AG28" s="21">
        <v>3</v>
      </c>
      <c r="AH28" s="21">
        <v>25</v>
      </c>
      <c r="AI28" s="21">
        <v>6</v>
      </c>
      <c r="AJ28" s="21">
        <v>44</v>
      </c>
      <c r="AK28" s="21">
        <v>15</v>
      </c>
      <c r="AL28" s="21">
        <v>10</v>
      </c>
      <c r="AM28" s="165">
        <v>20</v>
      </c>
      <c r="AN28" s="166">
        <v>88</v>
      </c>
      <c r="AO28" s="167">
        <v>59</v>
      </c>
      <c r="AP28" s="168">
        <v>27</v>
      </c>
      <c r="AQ28" s="169">
        <v>94</v>
      </c>
      <c r="AR28" s="170">
        <v>16</v>
      </c>
      <c r="AS28" s="171">
        <v>13</v>
      </c>
      <c r="AT28" s="21">
        <v>1</v>
      </c>
      <c r="AU28" s="21">
        <v>10</v>
      </c>
      <c r="AV28" s="172">
        <v>1</v>
      </c>
      <c r="AW28" s="173">
        <v>32</v>
      </c>
      <c r="AX28" s="175">
        <v>45</v>
      </c>
      <c r="AY28" s="176">
        <v>107</v>
      </c>
      <c r="AZ28" s="177">
        <v>105</v>
      </c>
      <c r="BA28" s="178">
        <v>61</v>
      </c>
      <c r="BB28" s="179">
        <v>44</v>
      </c>
      <c r="BC28" s="180">
        <v>3</v>
      </c>
      <c r="BD28" s="181">
        <v>97</v>
      </c>
      <c r="BE28" s="182">
        <v>32</v>
      </c>
      <c r="BF28" s="183">
        <v>22</v>
      </c>
      <c r="BG28" s="184">
        <v>18</v>
      </c>
      <c r="BH28" s="21">
        <v>98</v>
      </c>
      <c r="BI28" s="21">
        <v>44</v>
      </c>
      <c r="BJ28" s="21">
        <v>54</v>
      </c>
      <c r="BK28" s="21">
        <v>136</v>
      </c>
      <c r="BL28" s="21">
        <v>135</v>
      </c>
      <c r="BM28" s="21">
        <v>20</v>
      </c>
      <c r="BN28" s="21">
        <v>0</v>
      </c>
      <c r="BO28" s="21">
        <v>46</v>
      </c>
      <c r="BP28" s="21">
        <v>49</v>
      </c>
      <c r="BQ28" s="21">
        <v>353</v>
      </c>
      <c r="BR28" s="21">
        <v>357</v>
      </c>
      <c r="BS28" s="21">
        <v>0</v>
      </c>
      <c r="BT28" s="21">
        <v>556</v>
      </c>
      <c r="BU28" s="21">
        <v>314</v>
      </c>
      <c r="BV28" s="21">
        <v>195</v>
      </c>
      <c r="BW28" s="21">
        <v>209</v>
      </c>
      <c r="BX28" s="21">
        <v>1</v>
      </c>
      <c r="BY28" s="21">
        <v>315</v>
      </c>
      <c r="BZ28" s="21">
        <v>19</v>
      </c>
      <c r="CA28" s="21">
        <v>35</v>
      </c>
      <c r="CB28" s="21">
        <v>63</v>
      </c>
      <c r="CC28" s="21">
        <v>15</v>
      </c>
      <c r="CD28" s="21">
        <v>29</v>
      </c>
      <c r="CE28" s="21">
        <v>119</v>
      </c>
      <c r="CF28" s="21">
        <v>63</v>
      </c>
      <c r="CG28" s="21">
        <v>214</v>
      </c>
      <c r="CH28" s="21">
        <v>134</v>
      </c>
      <c r="CI28" s="21">
        <v>84</v>
      </c>
      <c r="CJ28" s="21">
        <v>52</v>
      </c>
      <c r="CK28" s="21">
        <v>36</v>
      </c>
      <c r="CL28" s="21">
        <v>198</v>
      </c>
      <c r="CM28" s="21">
        <v>111</v>
      </c>
      <c r="CN28" s="21">
        <v>182</v>
      </c>
      <c r="CO28" s="21">
        <v>233</v>
      </c>
      <c r="CP28" s="21">
        <v>157</v>
      </c>
      <c r="CQ28" s="21">
        <v>134</v>
      </c>
      <c r="CR28" s="21">
        <v>158</v>
      </c>
      <c r="CS28" s="21">
        <v>356</v>
      </c>
      <c r="CT28" s="21">
        <v>16</v>
      </c>
      <c r="CU28" s="21">
        <v>310</v>
      </c>
      <c r="CV28" s="21">
        <v>389</v>
      </c>
      <c r="CW28" s="21">
        <v>353</v>
      </c>
      <c r="CX28" s="21">
        <v>238</v>
      </c>
      <c r="CY28" s="21">
        <v>406</v>
      </c>
      <c r="CZ28" s="21"/>
    </row>
    <row r="29" spans="1:104">
      <c r="A29" s="21">
        <v>95</v>
      </c>
      <c r="B29" s="21">
        <v>100</v>
      </c>
      <c r="C29" s="21">
        <f t="shared" si="1"/>
        <v>97.5</v>
      </c>
      <c r="D29" s="21">
        <v>1</v>
      </c>
      <c r="E29" s="21">
        <v>0</v>
      </c>
      <c r="F29" s="21">
        <v>13</v>
      </c>
      <c r="G29" s="21">
        <v>0</v>
      </c>
      <c r="H29" s="21">
        <v>0</v>
      </c>
      <c r="I29" s="21">
        <v>9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5</v>
      </c>
      <c r="R29" s="21">
        <v>2</v>
      </c>
      <c r="S29" s="21">
        <v>19</v>
      </c>
      <c r="T29" s="21">
        <v>9</v>
      </c>
      <c r="U29" s="21">
        <v>1</v>
      </c>
      <c r="V29" s="21">
        <v>0</v>
      </c>
      <c r="W29" s="21">
        <v>0</v>
      </c>
      <c r="X29" s="21">
        <v>0</v>
      </c>
      <c r="Y29" s="21">
        <v>1</v>
      </c>
      <c r="Z29" s="21">
        <v>0</v>
      </c>
      <c r="AA29" s="21">
        <v>0</v>
      </c>
      <c r="AB29" s="21">
        <v>2</v>
      </c>
      <c r="AC29" s="21">
        <v>0</v>
      </c>
      <c r="AD29" s="21">
        <v>0</v>
      </c>
      <c r="AE29" s="21">
        <v>7</v>
      </c>
      <c r="AF29" s="21">
        <v>6</v>
      </c>
      <c r="AG29" s="21">
        <v>0</v>
      </c>
      <c r="AH29" s="21">
        <v>0</v>
      </c>
      <c r="AI29" s="21">
        <v>0</v>
      </c>
      <c r="AJ29" s="21">
        <v>0</v>
      </c>
      <c r="AK29" s="21">
        <v>4</v>
      </c>
      <c r="AL29" s="21">
        <v>0</v>
      </c>
      <c r="AM29" s="165">
        <v>0</v>
      </c>
      <c r="AN29" s="166">
        <v>3</v>
      </c>
      <c r="AO29" s="167">
        <v>6</v>
      </c>
      <c r="AP29" s="168">
        <v>0</v>
      </c>
      <c r="AQ29" s="169">
        <v>7</v>
      </c>
      <c r="AR29" s="170">
        <v>0</v>
      </c>
      <c r="AS29" s="171">
        <v>0</v>
      </c>
      <c r="AT29" s="21">
        <v>0</v>
      </c>
      <c r="AU29" s="21">
        <v>0</v>
      </c>
      <c r="AV29" s="172">
        <v>0</v>
      </c>
      <c r="AW29" s="173">
        <v>7</v>
      </c>
      <c r="AX29" s="175">
        <v>17</v>
      </c>
      <c r="AY29" s="176">
        <v>29</v>
      </c>
      <c r="AZ29" s="177">
        <v>18</v>
      </c>
      <c r="BA29" s="178">
        <v>11</v>
      </c>
      <c r="BB29" s="179">
        <v>2</v>
      </c>
      <c r="BC29" s="180">
        <v>0</v>
      </c>
      <c r="BD29" s="181">
        <v>28</v>
      </c>
      <c r="BE29" s="182">
        <v>1</v>
      </c>
      <c r="BF29" s="183">
        <v>0</v>
      </c>
      <c r="BG29" s="184">
        <v>3</v>
      </c>
      <c r="BH29" s="21">
        <v>4</v>
      </c>
      <c r="BI29" s="21">
        <v>0</v>
      </c>
      <c r="BJ29" s="21">
        <v>3</v>
      </c>
      <c r="BK29" s="21">
        <v>2</v>
      </c>
      <c r="BL29" s="21">
        <v>5</v>
      </c>
      <c r="BM29" s="21">
        <v>1</v>
      </c>
      <c r="BN29" s="21">
        <v>0</v>
      </c>
      <c r="BO29" s="21">
        <v>3</v>
      </c>
      <c r="BP29" s="21">
        <v>12</v>
      </c>
      <c r="BQ29" s="21">
        <v>178</v>
      </c>
      <c r="BR29" s="21">
        <v>205</v>
      </c>
      <c r="BS29" s="21">
        <v>0</v>
      </c>
      <c r="BT29" s="21">
        <v>425</v>
      </c>
      <c r="BU29" s="21">
        <v>199</v>
      </c>
      <c r="BV29" s="21">
        <v>78</v>
      </c>
      <c r="BW29" s="21">
        <v>86</v>
      </c>
      <c r="BX29" s="21">
        <v>0</v>
      </c>
      <c r="BY29" s="21">
        <v>125</v>
      </c>
      <c r="BZ29" s="21">
        <v>0</v>
      </c>
      <c r="CA29" s="21">
        <v>8</v>
      </c>
      <c r="CB29" s="21">
        <v>28</v>
      </c>
      <c r="CC29" s="21">
        <v>6</v>
      </c>
      <c r="CD29" s="21">
        <v>0</v>
      </c>
      <c r="CE29" s="21">
        <v>22</v>
      </c>
      <c r="CF29" s="21">
        <v>11</v>
      </c>
      <c r="CG29" s="21">
        <v>54</v>
      </c>
      <c r="CH29" s="21">
        <v>67</v>
      </c>
      <c r="CI29" s="21">
        <v>17</v>
      </c>
      <c r="CJ29" s="21">
        <v>34</v>
      </c>
      <c r="CK29" s="21">
        <v>2</v>
      </c>
      <c r="CL29" s="21">
        <v>91</v>
      </c>
      <c r="CM29" s="21">
        <v>23</v>
      </c>
      <c r="CN29" s="21">
        <v>76</v>
      </c>
      <c r="CO29" s="21">
        <v>55</v>
      </c>
      <c r="CP29" s="21">
        <v>18</v>
      </c>
      <c r="CQ29" s="21">
        <v>20</v>
      </c>
      <c r="CR29" s="21">
        <v>29</v>
      </c>
      <c r="CS29" s="21">
        <v>164</v>
      </c>
      <c r="CT29" s="21">
        <v>2</v>
      </c>
      <c r="CU29" s="21">
        <v>87</v>
      </c>
      <c r="CV29" s="21">
        <v>123</v>
      </c>
      <c r="CW29" s="21">
        <v>50</v>
      </c>
      <c r="CX29" s="21">
        <v>84</v>
      </c>
      <c r="CY29" s="21">
        <v>111</v>
      </c>
      <c r="CZ29" s="21"/>
    </row>
    <row r="30" spans="1:104">
      <c r="A30" s="28">
        <v>100</v>
      </c>
      <c r="B30" s="28">
        <v>105</v>
      </c>
      <c r="C30" s="28">
        <f t="shared" si="1"/>
        <v>102.5</v>
      </c>
      <c r="D30" s="28">
        <v>0</v>
      </c>
      <c r="E30" s="28">
        <v>0</v>
      </c>
      <c r="F30" s="28">
        <v>3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1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G30" s="28">
        <v>0</v>
      </c>
      <c r="AH30" s="28">
        <v>0</v>
      </c>
      <c r="AI30" s="28">
        <v>0</v>
      </c>
      <c r="AJ30" s="28">
        <v>0</v>
      </c>
      <c r="AK30" s="28">
        <v>0</v>
      </c>
      <c r="AL30" s="28">
        <v>0</v>
      </c>
      <c r="AM30" s="165">
        <v>0</v>
      </c>
      <c r="AN30" s="166">
        <v>0</v>
      </c>
      <c r="AO30" s="167">
        <v>0</v>
      </c>
      <c r="AP30" s="168">
        <v>0</v>
      </c>
      <c r="AQ30" s="169">
        <v>0</v>
      </c>
      <c r="AR30" s="170">
        <v>0</v>
      </c>
      <c r="AS30" s="171">
        <v>0</v>
      </c>
      <c r="AT30" s="28">
        <v>0</v>
      </c>
      <c r="AU30" s="28">
        <v>0</v>
      </c>
      <c r="AV30" s="172">
        <v>0</v>
      </c>
      <c r="AW30" s="173">
        <v>0</v>
      </c>
      <c r="AX30" s="175">
        <v>1</v>
      </c>
      <c r="AY30" s="176">
        <v>4</v>
      </c>
      <c r="AZ30" s="177">
        <v>8</v>
      </c>
      <c r="BA30" s="178">
        <v>0</v>
      </c>
      <c r="BB30" s="179">
        <v>0</v>
      </c>
      <c r="BC30" s="180">
        <v>0</v>
      </c>
      <c r="BD30" s="181">
        <v>2</v>
      </c>
      <c r="BE30" s="182">
        <v>0</v>
      </c>
      <c r="BF30" s="183">
        <v>0</v>
      </c>
      <c r="BG30" s="184">
        <v>0</v>
      </c>
      <c r="BH30" s="28">
        <v>0</v>
      </c>
      <c r="BI30" s="28">
        <v>0</v>
      </c>
      <c r="BJ30" s="28">
        <v>0</v>
      </c>
      <c r="BK30" s="28">
        <v>0</v>
      </c>
      <c r="BL30" s="28">
        <v>0</v>
      </c>
      <c r="BM30" s="28">
        <v>0</v>
      </c>
      <c r="BN30" s="28">
        <v>0</v>
      </c>
      <c r="BO30" s="28">
        <v>0</v>
      </c>
      <c r="BP30" s="28">
        <v>4</v>
      </c>
      <c r="BQ30" s="28">
        <v>104</v>
      </c>
      <c r="BR30" s="28">
        <v>135</v>
      </c>
      <c r="BS30" s="28">
        <v>0</v>
      </c>
      <c r="BT30" s="28">
        <v>449</v>
      </c>
      <c r="BU30" s="28">
        <v>115</v>
      </c>
      <c r="BV30" s="28">
        <v>31</v>
      </c>
      <c r="BW30" s="28">
        <v>45</v>
      </c>
      <c r="BX30" s="28">
        <v>0</v>
      </c>
      <c r="BY30" s="28">
        <v>31</v>
      </c>
      <c r="BZ30" s="28">
        <v>0</v>
      </c>
      <c r="CA30" s="28">
        <v>12</v>
      </c>
      <c r="CB30" s="28">
        <v>7</v>
      </c>
      <c r="CC30" s="28">
        <v>2</v>
      </c>
      <c r="CD30" s="28">
        <v>0</v>
      </c>
      <c r="CE30" s="28">
        <v>5</v>
      </c>
      <c r="CF30" s="28">
        <v>3</v>
      </c>
      <c r="CG30" s="28">
        <v>0</v>
      </c>
      <c r="CH30" s="28">
        <v>8</v>
      </c>
      <c r="CI30" s="28">
        <v>0</v>
      </c>
      <c r="CJ30" s="28">
        <v>0</v>
      </c>
      <c r="CK30" s="28">
        <v>0</v>
      </c>
      <c r="CL30" s="28">
        <v>36</v>
      </c>
      <c r="CM30" s="28">
        <v>0</v>
      </c>
      <c r="CN30" s="28">
        <v>18</v>
      </c>
      <c r="CO30" s="28">
        <v>10</v>
      </c>
      <c r="CP30" s="28">
        <v>0</v>
      </c>
      <c r="CQ30" s="28">
        <v>0</v>
      </c>
      <c r="CR30" s="28">
        <v>11</v>
      </c>
      <c r="CS30" s="28">
        <v>78</v>
      </c>
      <c r="CT30" s="28">
        <v>0</v>
      </c>
      <c r="CU30" s="28">
        <v>21</v>
      </c>
      <c r="CV30" s="28">
        <v>11</v>
      </c>
      <c r="CW30" s="28">
        <v>12</v>
      </c>
      <c r="CX30" s="28">
        <v>10</v>
      </c>
      <c r="CY30" s="28">
        <v>8</v>
      </c>
      <c r="CZ30" s="28"/>
    </row>
    <row r="31" spans="1:104">
      <c r="A31" s="28">
        <v>105</v>
      </c>
      <c r="B31" s="28">
        <v>110</v>
      </c>
      <c r="C31" s="28">
        <f t="shared" si="1"/>
        <v>107.5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8">
        <v>0</v>
      </c>
      <c r="AK31" s="28">
        <v>0</v>
      </c>
      <c r="AL31" s="28">
        <v>0</v>
      </c>
      <c r="AM31" s="165">
        <v>0</v>
      </c>
      <c r="AN31" s="166">
        <v>0</v>
      </c>
      <c r="AO31" s="167">
        <v>0</v>
      </c>
      <c r="AP31" s="168">
        <v>0</v>
      </c>
      <c r="AQ31" s="169">
        <v>0</v>
      </c>
      <c r="AR31" s="170">
        <v>0</v>
      </c>
      <c r="AS31" s="171">
        <v>0</v>
      </c>
      <c r="AT31" s="28">
        <v>0</v>
      </c>
      <c r="AU31" s="28">
        <v>0</v>
      </c>
      <c r="AV31" s="172">
        <v>0</v>
      </c>
      <c r="AW31" s="173">
        <v>0</v>
      </c>
      <c r="AX31" s="175">
        <v>0</v>
      </c>
      <c r="AY31" s="176">
        <v>0</v>
      </c>
      <c r="AZ31" s="177">
        <v>0</v>
      </c>
      <c r="BA31" s="178">
        <v>0</v>
      </c>
      <c r="BB31" s="179">
        <v>0</v>
      </c>
      <c r="BC31" s="180">
        <v>0</v>
      </c>
      <c r="BD31" s="181">
        <v>0</v>
      </c>
      <c r="BE31" s="182">
        <v>0</v>
      </c>
      <c r="BF31" s="183">
        <v>0</v>
      </c>
      <c r="BG31" s="184">
        <v>0</v>
      </c>
      <c r="BH31" s="28">
        <v>0</v>
      </c>
      <c r="BI31" s="28">
        <v>0</v>
      </c>
      <c r="BJ31" s="28">
        <v>0</v>
      </c>
      <c r="BK31" s="28">
        <v>0</v>
      </c>
      <c r="BL31" s="28">
        <v>0</v>
      </c>
      <c r="BM31" s="28">
        <v>0</v>
      </c>
      <c r="BN31" s="28">
        <v>0</v>
      </c>
      <c r="BO31" s="28">
        <v>0</v>
      </c>
      <c r="BP31" s="28">
        <v>0</v>
      </c>
      <c r="BQ31" s="28">
        <v>15</v>
      </c>
      <c r="BR31" s="28">
        <v>13</v>
      </c>
      <c r="BS31" s="28">
        <v>0</v>
      </c>
      <c r="BT31" s="28">
        <v>297</v>
      </c>
      <c r="BU31" s="28">
        <v>15</v>
      </c>
      <c r="BV31" s="28">
        <v>6</v>
      </c>
      <c r="BW31" s="28">
        <v>8</v>
      </c>
      <c r="BX31" s="28">
        <v>0</v>
      </c>
      <c r="BY31" s="28">
        <v>12</v>
      </c>
      <c r="BZ31" s="28">
        <v>0</v>
      </c>
      <c r="CA31" s="28">
        <v>7</v>
      </c>
      <c r="CB31" s="28">
        <v>0</v>
      </c>
      <c r="CC31" s="28">
        <v>0</v>
      </c>
      <c r="CD31" s="28">
        <v>0</v>
      </c>
      <c r="CE31" s="28">
        <v>0</v>
      </c>
      <c r="CF31" s="28">
        <v>0</v>
      </c>
      <c r="CG31" s="28">
        <v>0</v>
      </c>
      <c r="CH31" s="28">
        <v>0</v>
      </c>
      <c r="CI31" s="28">
        <v>0</v>
      </c>
      <c r="CJ31" s="28">
        <v>0</v>
      </c>
      <c r="CK31" s="28">
        <v>0</v>
      </c>
      <c r="CL31" s="28">
        <v>9</v>
      </c>
      <c r="CM31" s="28">
        <v>0</v>
      </c>
      <c r="CN31" s="28">
        <v>2</v>
      </c>
      <c r="CO31" s="28">
        <v>0</v>
      </c>
      <c r="CP31" s="28">
        <v>0</v>
      </c>
      <c r="CQ31" s="28">
        <v>0</v>
      </c>
      <c r="CR31" s="28">
        <v>0</v>
      </c>
      <c r="CS31" s="28">
        <v>1</v>
      </c>
      <c r="CT31" s="28">
        <v>0</v>
      </c>
      <c r="CU31" s="28">
        <v>0</v>
      </c>
      <c r="CV31" s="28">
        <v>0</v>
      </c>
      <c r="CW31" s="28">
        <v>0</v>
      </c>
      <c r="CX31" s="28">
        <v>0</v>
      </c>
      <c r="CY31" s="28">
        <v>0</v>
      </c>
      <c r="CZ31" s="28"/>
    </row>
    <row r="32" spans="1:104">
      <c r="A32" s="28">
        <v>110</v>
      </c>
      <c r="B32" s="28">
        <v>115</v>
      </c>
      <c r="C32" s="28">
        <f t="shared" si="1"/>
        <v>112.5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0</v>
      </c>
      <c r="AJ32" s="28">
        <v>0</v>
      </c>
      <c r="AK32" s="28">
        <v>0</v>
      </c>
      <c r="AL32" s="28">
        <v>0</v>
      </c>
      <c r="AM32" s="165">
        <v>0</v>
      </c>
      <c r="AN32" s="166">
        <v>0</v>
      </c>
      <c r="AO32" s="167">
        <v>0</v>
      </c>
      <c r="AP32" s="168">
        <v>0</v>
      </c>
      <c r="AQ32" s="169">
        <v>0</v>
      </c>
      <c r="AR32" s="170">
        <v>0</v>
      </c>
      <c r="AS32" s="171">
        <v>0</v>
      </c>
      <c r="AT32" s="28">
        <v>0</v>
      </c>
      <c r="AU32" s="28">
        <v>0</v>
      </c>
      <c r="AV32" s="172">
        <v>0</v>
      </c>
      <c r="AW32" s="173">
        <v>0</v>
      </c>
      <c r="AX32" s="175">
        <v>0</v>
      </c>
      <c r="AY32" s="176">
        <v>0</v>
      </c>
      <c r="AZ32" s="177">
        <v>0</v>
      </c>
      <c r="BA32" s="178">
        <v>0</v>
      </c>
      <c r="BB32" s="179">
        <v>0</v>
      </c>
      <c r="BC32" s="180">
        <v>0</v>
      </c>
      <c r="BD32" s="181">
        <v>0</v>
      </c>
      <c r="BE32" s="182">
        <v>0</v>
      </c>
      <c r="BF32" s="183">
        <v>0</v>
      </c>
      <c r="BG32" s="184">
        <v>0</v>
      </c>
      <c r="BH32" s="28">
        <v>0</v>
      </c>
      <c r="BI32" s="28">
        <v>0</v>
      </c>
      <c r="BJ32" s="28">
        <v>0</v>
      </c>
      <c r="BK32" s="28">
        <v>0</v>
      </c>
      <c r="BL32" s="28">
        <v>0</v>
      </c>
      <c r="BM32" s="28">
        <v>0</v>
      </c>
      <c r="BN32" s="28">
        <v>0</v>
      </c>
      <c r="BO32" s="28">
        <v>0</v>
      </c>
      <c r="BP32" s="28">
        <v>0</v>
      </c>
      <c r="BQ32" s="28">
        <v>0</v>
      </c>
      <c r="BR32" s="28">
        <v>0</v>
      </c>
      <c r="BS32" s="28">
        <v>0</v>
      </c>
      <c r="BT32" s="28">
        <v>33</v>
      </c>
      <c r="BU32" s="28">
        <v>0</v>
      </c>
      <c r="BV32" s="28">
        <v>1</v>
      </c>
      <c r="BW32" s="28">
        <v>0</v>
      </c>
      <c r="BX32" s="28">
        <v>0</v>
      </c>
      <c r="BY32" s="28">
        <v>0</v>
      </c>
      <c r="BZ32" s="28">
        <v>0</v>
      </c>
      <c r="CA32" s="28">
        <v>0</v>
      </c>
      <c r="CB32" s="28">
        <v>0</v>
      </c>
      <c r="CC32" s="28">
        <v>0</v>
      </c>
      <c r="CD32" s="28">
        <v>0</v>
      </c>
      <c r="CE32" s="28">
        <v>0</v>
      </c>
      <c r="CF32" s="28">
        <v>0</v>
      </c>
      <c r="CG32" s="28">
        <v>0</v>
      </c>
      <c r="CH32" s="28">
        <v>0</v>
      </c>
      <c r="CI32" s="28">
        <v>0</v>
      </c>
      <c r="CJ32" s="28">
        <v>0</v>
      </c>
      <c r="CK32" s="28">
        <v>0</v>
      </c>
      <c r="CL32" s="28">
        <v>0</v>
      </c>
      <c r="CM32" s="28">
        <v>0</v>
      </c>
      <c r="CN32" s="28">
        <v>0</v>
      </c>
      <c r="CO32" s="28">
        <v>0</v>
      </c>
      <c r="CP32" s="28">
        <v>0</v>
      </c>
      <c r="CQ32" s="28">
        <v>0</v>
      </c>
      <c r="CR32" s="28">
        <v>0</v>
      </c>
      <c r="CS32" s="28">
        <v>0</v>
      </c>
      <c r="CT32" s="28">
        <v>0</v>
      </c>
      <c r="CU32" s="28">
        <v>0</v>
      </c>
      <c r="CV32" s="28">
        <v>0</v>
      </c>
      <c r="CW32" s="28">
        <v>0</v>
      </c>
      <c r="CX32" s="28">
        <v>0</v>
      </c>
      <c r="CY32" s="28">
        <v>0</v>
      </c>
      <c r="CZ32" s="28"/>
    </row>
    <row r="33" spans="1:104">
      <c r="A33" s="29">
        <v>115</v>
      </c>
      <c r="B33" s="29">
        <v>120</v>
      </c>
      <c r="C33" s="29">
        <f t="shared" si="1"/>
        <v>117.5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0</v>
      </c>
      <c r="AC33" s="29">
        <v>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0</v>
      </c>
      <c r="AM33" s="163">
        <v>0</v>
      </c>
      <c r="AN33" s="127">
        <v>0</v>
      </c>
      <c r="AO33" s="127">
        <v>0</v>
      </c>
      <c r="AP33" s="127">
        <v>0</v>
      </c>
      <c r="AQ33" s="127">
        <v>0</v>
      </c>
      <c r="AR33" s="127">
        <v>0</v>
      </c>
      <c r="AS33" s="127">
        <v>0</v>
      </c>
      <c r="AT33" s="29">
        <v>0</v>
      </c>
      <c r="AU33" s="29">
        <v>0</v>
      </c>
      <c r="AV33" s="127">
        <v>0</v>
      </c>
      <c r="AW33" s="127">
        <v>0</v>
      </c>
      <c r="AX33" s="127">
        <v>0</v>
      </c>
      <c r="AY33" s="127">
        <v>0</v>
      </c>
      <c r="AZ33" s="127">
        <v>0</v>
      </c>
      <c r="BA33" s="127">
        <v>0</v>
      </c>
      <c r="BB33" s="127">
        <v>0</v>
      </c>
      <c r="BC33" s="127">
        <v>0</v>
      </c>
      <c r="BD33" s="127">
        <v>0</v>
      </c>
      <c r="BE33" s="127">
        <v>0</v>
      </c>
      <c r="BF33" s="127">
        <v>0</v>
      </c>
      <c r="BG33" s="127">
        <v>0</v>
      </c>
      <c r="BH33" s="29">
        <v>0</v>
      </c>
      <c r="BI33" s="29">
        <v>0</v>
      </c>
      <c r="BJ33" s="29">
        <v>0</v>
      </c>
      <c r="BK33" s="29">
        <v>0</v>
      </c>
      <c r="BL33" s="29">
        <v>0</v>
      </c>
      <c r="BM33" s="29">
        <v>0</v>
      </c>
      <c r="BN33" s="29">
        <v>0</v>
      </c>
      <c r="BO33" s="29">
        <v>0</v>
      </c>
      <c r="BP33" s="29">
        <v>0</v>
      </c>
      <c r="BQ33" s="29">
        <v>0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</v>
      </c>
      <c r="BX33" s="29">
        <v>0</v>
      </c>
      <c r="BY33" s="29">
        <v>0</v>
      </c>
      <c r="BZ33" s="29">
        <v>0</v>
      </c>
      <c r="CA33" s="29">
        <v>0</v>
      </c>
      <c r="CB33" s="29">
        <v>0</v>
      </c>
      <c r="CC33" s="29">
        <v>0</v>
      </c>
      <c r="CD33" s="29">
        <v>0</v>
      </c>
      <c r="CE33" s="29">
        <v>0</v>
      </c>
      <c r="CF33" s="29">
        <v>0</v>
      </c>
      <c r="CG33" s="29">
        <v>0</v>
      </c>
      <c r="CH33" s="29">
        <v>0</v>
      </c>
      <c r="CI33" s="29">
        <v>0</v>
      </c>
      <c r="CJ33" s="29">
        <v>0</v>
      </c>
      <c r="CK33" s="29">
        <v>0</v>
      </c>
      <c r="CL33" s="29">
        <v>0</v>
      </c>
      <c r="CM33" s="29">
        <v>0</v>
      </c>
      <c r="CN33" s="29">
        <v>0</v>
      </c>
      <c r="CO33" s="29">
        <v>0</v>
      </c>
      <c r="CP33" s="29">
        <v>0</v>
      </c>
      <c r="CQ33" s="29">
        <v>0</v>
      </c>
      <c r="CR33" s="29">
        <v>0</v>
      </c>
      <c r="CS33" s="29">
        <v>0</v>
      </c>
      <c r="CT33" s="29">
        <v>0</v>
      </c>
      <c r="CU33" s="29">
        <v>0</v>
      </c>
      <c r="CV33" s="29">
        <v>0</v>
      </c>
      <c r="CW33" s="29">
        <v>0</v>
      </c>
      <c r="CX33" s="29">
        <v>0</v>
      </c>
      <c r="CY33" s="29">
        <v>0</v>
      </c>
      <c r="CZ33" s="29"/>
    </row>
    <row r="34" spans="1:104">
      <c r="A34" t="s">
        <v>135</v>
      </c>
      <c r="D34" s="28">
        <v>91</v>
      </c>
      <c r="E34" s="28">
        <v>88</v>
      </c>
      <c r="F34" s="28">
        <v>91</v>
      </c>
      <c r="G34" s="28">
        <v>92</v>
      </c>
      <c r="H34" s="28">
        <v>84</v>
      </c>
      <c r="I34" s="28">
        <v>91</v>
      </c>
      <c r="J34" s="28">
        <v>91</v>
      </c>
      <c r="K34" s="28">
        <v>86</v>
      </c>
      <c r="L34" s="28">
        <v>88</v>
      </c>
      <c r="M34" s="28">
        <v>81</v>
      </c>
      <c r="N34" s="28">
        <v>87</v>
      </c>
      <c r="O34" s="28">
        <v>84</v>
      </c>
      <c r="P34" s="28">
        <v>89</v>
      </c>
      <c r="Q34" s="28">
        <v>91</v>
      </c>
      <c r="R34" s="28">
        <v>92</v>
      </c>
      <c r="S34" s="28">
        <v>94</v>
      </c>
      <c r="T34" s="28">
        <v>93</v>
      </c>
      <c r="U34" s="28">
        <v>89</v>
      </c>
      <c r="V34" s="28">
        <v>86</v>
      </c>
      <c r="W34" s="28">
        <v>86</v>
      </c>
      <c r="X34" s="28">
        <v>82</v>
      </c>
      <c r="Y34" s="28">
        <v>89</v>
      </c>
      <c r="Z34" s="28">
        <v>92</v>
      </c>
      <c r="AA34" s="28">
        <v>89</v>
      </c>
      <c r="AB34" s="28">
        <v>89</v>
      </c>
      <c r="AC34" s="28">
        <v>86</v>
      </c>
      <c r="AD34" s="28">
        <v>91</v>
      </c>
      <c r="AE34" s="28">
        <v>92</v>
      </c>
      <c r="AF34" s="28">
        <v>93</v>
      </c>
      <c r="AG34" s="28">
        <v>90</v>
      </c>
      <c r="AH34" s="28">
        <v>89</v>
      </c>
      <c r="AI34" s="28">
        <v>90</v>
      </c>
      <c r="AJ34" s="28">
        <v>90</v>
      </c>
      <c r="AK34" s="28">
        <v>88</v>
      </c>
      <c r="AL34" s="28">
        <v>85</v>
      </c>
      <c r="AM34" s="28">
        <v>92</v>
      </c>
      <c r="AN34" s="28">
        <v>94</v>
      </c>
      <c r="AO34" s="28">
        <v>93</v>
      </c>
      <c r="AP34" s="28">
        <v>92</v>
      </c>
      <c r="AQ34" s="28">
        <v>92</v>
      </c>
      <c r="AR34" s="28">
        <v>90</v>
      </c>
      <c r="AS34" s="28">
        <v>89</v>
      </c>
      <c r="AT34" s="28">
        <v>89</v>
      </c>
      <c r="AU34" s="28">
        <v>89</v>
      </c>
      <c r="AV34" s="28">
        <v>84</v>
      </c>
      <c r="AW34" s="28">
        <v>91</v>
      </c>
      <c r="AX34" s="28">
        <v>94</v>
      </c>
      <c r="AY34" s="28">
        <v>96</v>
      </c>
      <c r="AZ34" s="28">
        <v>94</v>
      </c>
      <c r="BA34" s="28">
        <v>93</v>
      </c>
      <c r="BB34" s="28">
        <v>90</v>
      </c>
      <c r="BC34" s="28">
        <v>91</v>
      </c>
      <c r="BD34" s="28">
        <v>97</v>
      </c>
      <c r="BE34" s="28">
        <v>92</v>
      </c>
      <c r="BF34" s="28">
        <v>89</v>
      </c>
      <c r="BG34" s="28">
        <v>90</v>
      </c>
      <c r="BH34" s="28">
        <v>94</v>
      </c>
      <c r="BI34" s="28">
        <v>91</v>
      </c>
      <c r="BJ34" s="28">
        <v>91</v>
      </c>
      <c r="BK34" s="28">
        <v>94</v>
      </c>
      <c r="BL34" s="28">
        <v>94</v>
      </c>
      <c r="BM34" s="28">
        <v>88</v>
      </c>
      <c r="BN34" s="28">
        <v>85</v>
      </c>
      <c r="BO34" s="28">
        <v>93</v>
      </c>
      <c r="BP34" s="28">
        <v>96</v>
      </c>
      <c r="BQ34" s="28">
        <v>103</v>
      </c>
      <c r="BR34" s="28">
        <v>104</v>
      </c>
      <c r="BS34" s="28">
        <v>84</v>
      </c>
      <c r="BT34" s="28">
        <v>111</v>
      </c>
      <c r="BU34" s="28">
        <v>106</v>
      </c>
      <c r="BV34" s="28">
        <v>100</v>
      </c>
      <c r="BW34" s="28">
        <v>101</v>
      </c>
      <c r="BX34" s="28">
        <v>83</v>
      </c>
      <c r="BY34" s="28">
        <v>100</v>
      </c>
      <c r="BZ34" s="28">
        <v>93</v>
      </c>
      <c r="CA34" s="28">
        <v>92</v>
      </c>
      <c r="CB34" s="28">
        <v>99</v>
      </c>
      <c r="CC34" s="28">
        <v>91</v>
      </c>
      <c r="CD34" s="28">
        <v>93</v>
      </c>
      <c r="CE34" s="28">
        <v>94</v>
      </c>
      <c r="CF34" s="28">
        <v>90</v>
      </c>
      <c r="CG34" s="28">
        <v>98</v>
      </c>
      <c r="CH34" s="28">
        <v>99</v>
      </c>
      <c r="CI34" s="28">
        <v>95</v>
      </c>
      <c r="CJ34" s="28">
        <v>95</v>
      </c>
      <c r="CK34" s="28">
        <v>93</v>
      </c>
      <c r="CL34" s="28">
        <v>100</v>
      </c>
      <c r="CM34" s="28">
        <v>97</v>
      </c>
      <c r="CN34" s="28">
        <v>100</v>
      </c>
      <c r="CO34" s="28">
        <v>96</v>
      </c>
      <c r="CP34" s="28">
        <v>95</v>
      </c>
      <c r="CQ34" s="28">
        <v>96</v>
      </c>
      <c r="CR34" s="28">
        <v>95</v>
      </c>
      <c r="CS34" s="28">
        <v>100</v>
      </c>
      <c r="CT34" s="28">
        <v>91</v>
      </c>
      <c r="CU34" s="28">
        <v>101</v>
      </c>
      <c r="CV34" s="28">
        <v>101</v>
      </c>
      <c r="CW34" s="28">
        <v>97</v>
      </c>
      <c r="CX34" s="28">
        <v>99</v>
      </c>
      <c r="CY34" s="28">
        <v>99</v>
      </c>
      <c r="CZ34" s="28"/>
    </row>
    <row r="35" spans="1:104">
      <c r="A35" t="s">
        <v>136</v>
      </c>
      <c r="D35" s="28">
        <v>4</v>
      </c>
      <c r="E35" s="28">
        <v>11</v>
      </c>
      <c r="F35" s="28">
        <v>16</v>
      </c>
      <c r="G35" s="28">
        <v>13</v>
      </c>
      <c r="H35" s="28">
        <v>10</v>
      </c>
      <c r="I35" s="28">
        <v>8</v>
      </c>
      <c r="J35" s="28">
        <v>0</v>
      </c>
      <c r="K35" s="28">
        <v>2</v>
      </c>
      <c r="L35" s="28">
        <v>-7</v>
      </c>
      <c r="M35" s="28">
        <v>-15</v>
      </c>
      <c r="N35" s="28">
        <v>0</v>
      </c>
      <c r="O35" s="28">
        <v>-17</v>
      </c>
      <c r="P35" s="28">
        <v>-9</v>
      </c>
      <c r="Q35" s="28">
        <v>1</v>
      </c>
      <c r="R35" s="28">
        <v>11</v>
      </c>
      <c r="S35" s="28">
        <v>12</v>
      </c>
      <c r="T35" s="28">
        <v>12</v>
      </c>
      <c r="U35" s="28">
        <v>-1</v>
      </c>
      <c r="V35" s="28">
        <v>0</v>
      </c>
      <c r="W35" s="28">
        <v>4</v>
      </c>
      <c r="X35" s="28">
        <v>1</v>
      </c>
      <c r="Y35" s="28">
        <v>12</v>
      </c>
      <c r="Z35" s="28">
        <v>14</v>
      </c>
      <c r="AA35" s="28">
        <v>3</v>
      </c>
      <c r="AB35" s="28">
        <v>-1</v>
      </c>
      <c r="AC35" s="28">
        <v>-13</v>
      </c>
      <c r="AD35" s="28">
        <v>8</v>
      </c>
      <c r="AE35" s="28">
        <v>11</v>
      </c>
      <c r="AF35" s="28">
        <v>14</v>
      </c>
      <c r="AG35" s="28">
        <v>5</v>
      </c>
      <c r="AH35" s="28">
        <v>4</v>
      </c>
      <c r="AI35" s="28">
        <v>6</v>
      </c>
      <c r="AJ35" s="28">
        <v>9</v>
      </c>
      <c r="AK35" s="28">
        <v>-8</v>
      </c>
      <c r="AL35" s="28">
        <v>-7</v>
      </c>
      <c r="AM35" s="28">
        <v>8</v>
      </c>
      <c r="AN35" s="28">
        <v>10</v>
      </c>
      <c r="AO35" s="28">
        <v>-5</v>
      </c>
      <c r="AP35" s="28">
        <v>0</v>
      </c>
      <c r="AQ35" s="28">
        <v>0</v>
      </c>
      <c r="AR35" s="28">
        <v>3</v>
      </c>
      <c r="AS35" s="28">
        <v>2</v>
      </c>
      <c r="AT35" s="28">
        <v>-1</v>
      </c>
      <c r="AU35" s="28">
        <v>1</v>
      </c>
      <c r="AV35" s="28">
        <v>-18</v>
      </c>
      <c r="AW35" s="28">
        <v>-11</v>
      </c>
      <c r="AX35" s="28">
        <v>-19</v>
      </c>
      <c r="AY35" s="28">
        <v>-6</v>
      </c>
      <c r="AZ35" s="28">
        <v>-6</v>
      </c>
      <c r="BA35" s="28">
        <v>8</v>
      </c>
      <c r="BB35" s="28">
        <v>4</v>
      </c>
      <c r="BC35" s="28">
        <v>5</v>
      </c>
      <c r="BD35" s="28">
        <v>-9</v>
      </c>
      <c r="BE35" s="28">
        <v>-12</v>
      </c>
      <c r="BF35" s="28">
        <v>-8</v>
      </c>
      <c r="BG35" s="28">
        <v>-1</v>
      </c>
      <c r="BH35" s="28">
        <v>8</v>
      </c>
      <c r="BI35" s="28">
        <v>0</v>
      </c>
      <c r="BJ35" s="28">
        <v>2</v>
      </c>
      <c r="BK35" s="28">
        <v>38</v>
      </c>
      <c r="BL35" s="28">
        <v>22</v>
      </c>
      <c r="BM35" s="28">
        <v>15</v>
      </c>
      <c r="BN35" s="28">
        <v>25</v>
      </c>
      <c r="BO35" s="28">
        <v>5</v>
      </c>
      <c r="BP35" s="28">
        <v>8</v>
      </c>
      <c r="BQ35" s="28">
        <v>32</v>
      </c>
      <c r="BR35" s="28">
        <v>31</v>
      </c>
      <c r="BS35" s="28">
        <v>45</v>
      </c>
      <c r="BT35" s="28">
        <v>41</v>
      </c>
      <c r="BU35" s="28">
        <v>28</v>
      </c>
      <c r="BV35" s="28">
        <v>32</v>
      </c>
      <c r="BW35" s="28">
        <v>30</v>
      </c>
      <c r="BX35" s="28">
        <v>39</v>
      </c>
      <c r="BY35" s="28">
        <v>30</v>
      </c>
      <c r="BZ35" s="28">
        <v>5</v>
      </c>
      <c r="CA35" s="28">
        <v>23</v>
      </c>
      <c r="CB35" s="28">
        <v>23</v>
      </c>
      <c r="CC35" s="28">
        <v>25</v>
      </c>
      <c r="CD35" s="28">
        <v>9</v>
      </c>
      <c r="CE35" s="28">
        <v>1</v>
      </c>
      <c r="CF35" s="28">
        <v>-3</v>
      </c>
      <c r="CG35" s="28">
        <v>5</v>
      </c>
      <c r="CH35" s="28">
        <v>9</v>
      </c>
      <c r="CI35" s="28">
        <v>-2</v>
      </c>
      <c r="CJ35" s="28">
        <v>-4</v>
      </c>
      <c r="CK35" s="28">
        <v>-4</v>
      </c>
      <c r="CL35" s="28">
        <v>10</v>
      </c>
      <c r="CM35" s="28">
        <v>3</v>
      </c>
      <c r="CN35" s="28">
        <v>7</v>
      </c>
      <c r="CO35" s="28">
        <v>2</v>
      </c>
      <c r="CP35" s="28">
        <v>7</v>
      </c>
      <c r="CQ35" s="28">
        <v>7</v>
      </c>
      <c r="CR35" s="28">
        <v>18</v>
      </c>
      <c r="CS35" s="28">
        <v>18</v>
      </c>
      <c r="CT35" s="28">
        <v>10</v>
      </c>
      <c r="CU35" s="28">
        <v>24</v>
      </c>
      <c r="CV35" s="28">
        <v>22</v>
      </c>
      <c r="CW35" s="28">
        <v>30</v>
      </c>
      <c r="CX35" s="28">
        <v>16</v>
      </c>
      <c r="CY35" s="28">
        <v>29</v>
      </c>
      <c r="CZ35" s="28"/>
    </row>
    <row r="36" spans="1:104"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</row>
    <row r="38" spans="1:104">
      <c r="A38" t="s">
        <v>203</v>
      </c>
      <c r="AM38" s="164"/>
    </row>
    <row r="39" spans="1:104" s="184" customFormat="1">
      <c r="A39" s="184" t="s">
        <v>308</v>
      </c>
    </row>
    <row r="40" spans="1:104">
      <c r="A40" s="184" t="s">
        <v>318</v>
      </c>
      <c r="E40" s="184"/>
      <c r="AM40" s="164"/>
      <c r="BB40" s="184"/>
      <c r="BC40" s="184"/>
    </row>
    <row r="41" spans="1:104">
      <c r="A41" t="s">
        <v>160</v>
      </c>
      <c r="E41" s="184"/>
      <c r="AM41" s="164"/>
      <c r="BB41" s="184"/>
      <c r="BC41" s="184"/>
    </row>
    <row r="42" spans="1:104">
      <c r="A42" t="s">
        <v>161</v>
      </c>
      <c r="E42" s="184"/>
      <c r="AM42" s="164"/>
      <c r="BB42" s="184"/>
      <c r="BC42" s="184"/>
    </row>
    <row r="43" spans="1:104">
      <c r="A43" s="184" t="s">
        <v>294</v>
      </c>
      <c r="E43" s="184"/>
      <c r="BB43" s="184"/>
      <c r="BC43" s="184"/>
    </row>
    <row r="44" spans="1:104" s="184" customFormat="1">
      <c r="A44" s="184" t="s">
        <v>296</v>
      </c>
    </row>
    <row r="45" spans="1:104">
      <c r="A45" t="s">
        <v>214</v>
      </c>
      <c r="E45" s="184"/>
      <c r="BB45" s="184"/>
      <c r="BC45" s="184"/>
    </row>
    <row r="46" spans="1:104">
      <c r="A46" s="184" t="s">
        <v>323</v>
      </c>
      <c r="E46" s="184"/>
      <c r="BB46" s="184"/>
      <c r="BC46" s="184"/>
    </row>
    <row r="47" spans="1:104">
      <c r="A47" t="s">
        <v>216</v>
      </c>
      <c r="E47" s="184"/>
      <c r="BB47" s="184"/>
      <c r="BC47" s="184"/>
    </row>
    <row r="48" spans="1:104">
      <c r="A48" s="184" t="s">
        <v>274</v>
      </c>
      <c r="E48" s="184"/>
      <c r="BB48" s="184"/>
      <c r="BC48" s="184"/>
    </row>
    <row r="49" spans="1:55">
      <c r="A49" s="184" t="s">
        <v>329</v>
      </c>
      <c r="E49" s="184"/>
      <c r="BB49" s="184"/>
      <c r="BC49" s="184"/>
    </row>
    <row r="50" spans="1:55">
      <c r="A50" t="s">
        <v>211</v>
      </c>
      <c r="E50" s="184"/>
      <c r="BB50" s="184"/>
      <c r="BC50" s="184"/>
    </row>
    <row r="51" spans="1:55">
      <c r="A51" t="s">
        <v>162</v>
      </c>
      <c r="E51" s="184"/>
      <c r="BB51" s="184"/>
      <c r="BC51" s="184"/>
    </row>
    <row r="52" spans="1:55">
      <c r="A52" t="s">
        <v>53</v>
      </c>
      <c r="E52" s="184"/>
      <c r="BB52" s="184"/>
      <c r="BC52" s="184"/>
    </row>
    <row r="53" spans="1:55">
      <c r="A53" t="s">
        <v>218</v>
      </c>
      <c r="E53" s="184"/>
      <c r="BB53" s="184"/>
      <c r="BC53" s="184"/>
    </row>
    <row r="54" spans="1:55">
      <c r="A54" t="s">
        <v>221</v>
      </c>
      <c r="E54" s="184"/>
      <c r="BB54" s="184"/>
      <c r="BC54" s="184"/>
    </row>
    <row r="55" spans="1:55">
      <c r="A55" t="s">
        <v>224</v>
      </c>
      <c r="E55" s="184"/>
      <c r="BB55" s="184"/>
      <c r="BC55" s="184"/>
    </row>
    <row r="56" spans="1:55">
      <c r="A56" s="184" t="s">
        <v>326</v>
      </c>
      <c r="E56" s="184"/>
      <c r="BB56" s="184"/>
      <c r="BC56" s="184"/>
    </row>
    <row r="57" spans="1:55">
      <c r="A57" s="184" t="s">
        <v>298</v>
      </c>
      <c r="E57" s="184"/>
      <c r="BB57" s="184"/>
      <c r="BC57" s="184"/>
    </row>
    <row r="58" spans="1:55">
      <c r="A58" t="s">
        <v>226</v>
      </c>
      <c r="E58" s="184"/>
      <c r="BB58" s="184"/>
      <c r="BC58" s="184"/>
    </row>
    <row r="59" spans="1:55">
      <c r="A59" t="s">
        <v>228</v>
      </c>
      <c r="E59" s="184"/>
      <c r="BB59" s="184"/>
      <c r="BC59" s="184"/>
    </row>
    <row r="60" spans="1:55" s="184" customFormat="1">
      <c r="A60" t="s">
        <v>163</v>
      </c>
    </row>
    <row r="61" spans="1:55">
      <c r="A61" t="s">
        <v>164</v>
      </c>
      <c r="E61" s="184"/>
      <c r="BB61" s="184"/>
      <c r="BC61" s="184"/>
    </row>
    <row r="62" spans="1:55">
      <c r="A62" s="184" t="s">
        <v>334</v>
      </c>
      <c r="E62" s="184"/>
      <c r="BB62" s="184"/>
      <c r="BC62" s="184"/>
    </row>
    <row r="63" spans="1:55">
      <c r="A63" t="s">
        <v>165</v>
      </c>
      <c r="E63" s="184"/>
    </row>
    <row r="64" spans="1:55">
      <c r="A64" t="s">
        <v>231</v>
      </c>
      <c r="E64" s="184"/>
    </row>
    <row r="65" spans="1:5" s="184" customFormat="1">
      <c r="A65" s="184" t="s">
        <v>309</v>
      </c>
    </row>
    <row r="66" spans="1:5">
      <c r="A66" t="s">
        <v>166</v>
      </c>
      <c r="E66" s="184"/>
    </row>
    <row r="67" spans="1:5">
      <c r="A67" t="s">
        <v>167</v>
      </c>
      <c r="E67" s="184"/>
    </row>
    <row r="68" spans="1:5">
      <c r="A68" t="s">
        <v>235</v>
      </c>
      <c r="E68" s="184"/>
    </row>
    <row r="69" spans="1:5">
      <c r="A69" s="184" t="s">
        <v>337</v>
      </c>
      <c r="E69" s="184"/>
    </row>
    <row r="70" spans="1:5">
      <c r="A70" t="s">
        <v>168</v>
      </c>
      <c r="E70" s="184"/>
    </row>
    <row r="71" spans="1:5">
      <c r="A71" s="184" t="s">
        <v>307</v>
      </c>
      <c r="E71" s="184"/>
    </row>
    <row r="72" spans="1:5">
      <c r="A72" t="s">
        <v>238</v>
      </c>
      <c r="E72" s="184"/>
    </row>
    <row r="73" spans="1:5">
      <c r="E73" s="184"/>
    </row>
    <row r="74" spans="1:5">
      <c r="E74" s="184"/>
    </row>
    <row r="75" spans="1:5">
      <c r="E75" s="184"/>
    </row>
    <row r="76" spans="1:5">
      <c r="E76" s="184"/>
    </row>
    <row r="77" spans="1:5">
      <c r="E77" s="184"/>
    </row>
    <row r="78" spans="1:5">
      <c r="E78" s="184"/>
    </row>
    <row r="79" spans="1:5">
      <c r="E79" s="184"/>
    </row>
    <row r="80" spans="1:5">
      <c r="E80" s="184"/>
    </row>
    <row r="81" spans="5:5">
      <c r="E81" s="184"/>
    </row>
    <row r="82" spans="5:5">
      <c r="E82" s="184"/>
    </row>
    <row r="83" spans="5:5">
      <c r="E83" s="184"/>
    </row>
    <row r="84" spans="5:5">
      <c r="E84" s="184"/>
    </row>
    <row r="85" spans="5:5">
      <c r="E85" s="184"/>
    </row>
    <row r="86" spans="5:5">
      <c r="E86" s="184"/>
    </row>
    <row r="87" spans="5:5">
      <c r="E87" s="184"/>
    </row>
    <row r="88" spans="5:5">
      <c r="E88" s="184"/>
    </row>
    <row r="89" spans="5:5">
      <c r="E89" s="184"/>
    </row>
    <row r="90" spans="5:5">
      <c r="E90" s="184"/>
    </row>
    <row r="91" spans="5:5">
      <c r="E91" s="184"/>
    </row>
    <row r="92" spans="5:5">
      <c r="E92" s="184"/>
    </row>
    <row r="93" spans="5:5">
      <c r="E93" s="184"/>
    </row>
    <row r="94" spans="5:5">
      <c r="E94" s="184"/>
    </row>
    <row r="95" spans="5:5">
      <c r="E95" s="184"/>
    </row>
    <row r="96" spans="5:5">
      <c r="E96" s="184"/>
    </row>
    <row r="97" spans="5:5">
      <c r="E97" s="184"/>
    </row>
    <row r="98" spans="5:5">
      <c r="E98" s="184"/>
    </row>
    <row r="99" spans="5:5">
      <c r="E99" s="184"/>
    </row>
    <row r="100" spans="5:5">
      <c r="E100" s="184"/>
    </row>
    <row r="101" spans="5:5">
      <c r="E101" s="184"/>
    </row>
    <row r="102" spans="5:5">
      <c r="E102" s="184"/>
    </row>
    <row r="103" spans="5:5">
      <c r="E103" s="184"/>
    </row>
    <row r="104" spans="5:5">
      <c r="E104" s="184"/>
    </row>
    <row r="105" spans="5:5">
      <c r="E105" s="184"/>
    </row>
    <row r="106" spans="5:5">
      <c r="E106" s="184"/>
    </row>
    <row r="107" spans="5:5">
      <c r="E107" s="184"/>
    </row>
    <row r="108" spans="5:5">
      <c r="E108" s="184"/>
    </row>
    <row r="109" spans="5:5">
      <c r="E109" s="184"/>
    </row>
    <row r="110" spans="5:5">
      <c r="E110" s="184"/>
    </row>
    <row r="111" spans="5:5">
      <c r="E111" s="184"/>
    </row>
    <row r="112" spans="5:5">
      <c r="E112" s="184"/>
    </row>
    <row r="113" spans="5:5">
      <c r="E113" s="184"/>
    </row>
    <row r="114" spans="5:5">
      <c r="E114" s="184"/>
    </row>
    <row r="115" spans="5:5">
      <c r="E115" s="184"/>
    </row>
    <row r="116" spans="5:5">
      <c r="E116" s="184"/>
    </row>
    <row r="117" spans="5:5">
      <c r="E117" s="184"/>
    </row>
    <row r="118" spans="5:5">
      <c r="E118" s="184"/>
    </row>
    <row r="119" spans="5:5">
      <c r="E119" s="184"/>
    </row>
    <row r="120" spans="5:5">
      <c r="E120" s="184"/>
    </row>
    <row r="121" spans="5:5">
      <c r="E121" s="184"/>
    </row>
    <row r="122" spans="5:5">
      <c r="E122" s="184"/>
    </row>
    <row r="123" spans="5:5">
      <c r="E123" s="184"/>
    </row>
    <row r="124" spans="5:5">
      <c r="E124" s="184"/>
    </row>
    <row r="125" spans="5:5">
      <c r="E125" s="184"/>
    </row>
    <row r="126" spans="5:5">
      <c r="E126" s="184"/>
    </row>
    <row r="127" spans="5:5">
      <c r="E127" s="184"/>
    </row>
    <row r="128" spans="5:5">
      <c r="E128" s="184"/>
    </row>
    <row r="129" spans="5:5">
      <c r="E129" s="184"/>
    </row>
    <row r="130" spans="5:5">
      <c r="E130" s="184"/>
    </row>
    <row r="131" spans="5:5">
      <c r="E131" s="184"/>
    </row>
    <row r="132" spans="5:5">
      <c r="E132" s="184"/>
    </row>
    <row r="133" spans="5:5">
      <c r="E133" s="184"/>
    </row>
    <row r="134" spans="5:5">
      <c r="E134" s="184"/>
    </row>
    <row r="135" spans="5:5">
      <c r="E135" s="184"/>
    </row>
    <row r="136" spans="5:5">
      <c r="E136" s="184"/>
    </row>
    <row r="137" spans="5:5">
      <c r="E137" s="184"/>
    </row>
  </sheetData>
  <sortState ref="D39:D72">
    <sortCondition ref="D39:D72"/>
  </sortState>
  <mergeCells count="1">
    <mergeCell ref="A3:B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16"/>
  <sheetViews>
    <sheetView workbookViewId="0">
      <selection activeCell="E6" sqref="E6"/>
    </sheetView>
  </sheetViews>
  <sheetFormatPr defaultRowHeight="14.5"/>
  <cols>
    <col min="1" max="1" width="27.7265625" bestFit="1" customWidth="1"/>
    <col min="2" max="2" width="21.1796875" bestFit="1" customWidth="1"/>
    <col min="3" max="3" width="15.1796875" bestFit="1" customWidth="1"/>
    <col min="4" max="4" width="13.7265625" bestFit="1" customWidth="1"/>
    <col min="5" max="5" width="15.1796875" bestFit="1" customWidth="1"/>
    <col min="6" max="6" width="29" bestFit="1" customWidth="1"/>
    <col min="7" max="7" width="33.54296875" bestFit="1" customWidth="1"/>
  </cols>
  <sheetData>
    <row r="1" spans="1:7" ht="24" thickBot="1">
      <c r="A1" s="87" t="s">
        <v>117</v>
      </c>
      <c r="B1" s="88" t="s">
        <v>118</v>
      </c>
      <c r="C1" s="88" t="s">
        <v>119</v>
      </c>
      <c r="D1" s="88" t="s">
        <v>120</v>
      </c>
      <c r="E1" s="89" t="s">
        <v>121</v>
      </c>
      <c r="F1" s="89" t="s">
        <v>122</v>
      </c>
      <c r="G1" s="90" t="s">
        <v>123</v>
      </c>
    </row>
    <row r="2" spans="1:7" ht="24" thickTop="1">
      <c r="A2" s="91" t="s">
        <v>79</v>
      </c>
      <c r="B2" s="82" t="s">
        <v>124</v>
      </c>
      <c r="C2" s="82">
        <v>3412</v>
      </c>
      <c r="D2" s="83">
        <f>elect_rate</f>
        <v>0.17</v>
      </c>
      <c r="E2" s="84">
        <v>1</v>
      </c>
      <c r="F2" s="84">
        <v>0</v>
      </c>
      <c r="G2" s="92">
        <f>(1000000/((1/D2)*C2*E2))/(1-F2)</f>
        <v>49.824150058616652</v>
      </c>
    </row>
    <row r="3" spans="1:7" ht="23.5">
      <c r="A3" s="93" t="s">
        <v>48</v>
      </c>
      <c r="B3" s="82" t="s">
        <v>125</v>
      </c>
      <c r="C3" s="82">
        <v>140000</v>
      </c>
      <c r="D3" s="83">
        <f>oil_rate</f>
        <v>2.5</v>
      </c>
      <c r="E3" s="84">
        <f>year_heating</f>
        <v>0.8</v>
      </c>
      <c r="F3" s="84">
        <f>system_loss_selected</f>
        <v>0.2</v>
      </c>
      <c r="G3" s="92">
        <f t="shared" ref="G3:G9" si="0">(1000000/((1/D3)*C3*E3))/(1-F3)</f>
        <v>27.901785714285715</v>
      </c>
    </row>
    <row r="4" spans="1:7" ht="23.5">
      <c r="A4" s="93" t="s">
        <v>49</v>
      </c>
      <c r="B4" s="82" t="s">
        <v>125</v>
      </c>
      <c r="C4" s="82">
        <v>90000</v>
      </c>
      <c r="D4" s="83">
        <f>pro_rate</f>
        <v>2.5</v>
      </c>
      <c r="E4" s="84">
        <f>year_heating</f>
        <v>0.8</v>
      </c>
      <c r="F4" s="84">
        <f>system_loss_selected</f>
        <v>0.2</v>
      </c>
      <c r="G4" s="92">
        <f>(1000000/((1/D4)*C4*E4))/(1-F4)</f>
        <v>43.402777777777771</v>
      </c>
    </row>
    <row r="5" spans="1:7" ht="23.5" hidden="1">
      <c r="A5" s="93" t="s">
        <v>126</v>
      </c>
      <c r="B5" s="82" t="s">
        <v>124</v>
      </c>
      <c r="C5" s="82">
        <v>3413</v>
      </c>
      <c r="D5" s="83">
        <v>0.15</v>
      </c>
      <c r="E5" s="85">
        <v>2</v>
      </c>
      <c r="F5" s="85">
        <v>0</v>
      </c>
      <c r="G5" s="92">
        <f t="shared" si="0"/>
        <v>21.974802226779957</v>
      </c>
    </row>
    <row r="6" spans="1:7" ht="23.5">
      <c r="A6" s="93" t="s">
        <v>130</v>
      </c>
      <c r="B6" s="82" t="s">
        <v>124</v>
      </c>
      <c r="C6" s="82">
        <v>3412</v>
      </c>
      <c r="D6" s="83">
        <f>elect_rate</f>
        <v>0.17</v>
      </c>
      <c r="E6" s="85">
        <f>MBTUHP/3.412/Calcs!K35</f>
        <v>2.7020818469321566</v>
      </c>
      <c r="F6" s="85">
        <f>Calcs!B42</f>
        <v>0.05</v>
      </c>
      <c r="G6" s="92">
        <f>(1000000/((1/D6)*C6*E6))/(1-F6)</f>
        <v>19.409654006394383</v>
      </c>
    </row>
    <row r="7" spans="1:7" ht="23.5" hidden="1">
      <c r="A7" s="93" t="s">
        <v>127</v>
      </c>
      <c r="B7" s="82" t="s">
        <v>124</v>
      </c>
      <c r="C7" s="82">
        <v>3413</v>
      </c>
      <c r="D7" s="83">
        <v>0.15</v>
      </c>
      <c r="E7" s="85">
        <v>3.5</v>
      </c>
      <c r="F7" s="85">
        <v>0</v>
      </c>
      <c r="G7" s="92">
        <f t="shared" si="0"/>
        <v>12.557029843874261</v>
      </c>
    </row>
    <row r="8" spans="1:7" ht="23.5">
      <c r="A8" s="93" t="s">
        <v>80</v>
      </c>
      <c r="B8" s="82" t="s">
        <v>128</v>
      </c>
      <c r="C8" s="82">
        <v>100000</v>
      </c>
      <c r="D8" s="83">
        <f>gas_rate</f>
        <v>0.8</v>
      </c>
      <c r="E8" s="84">
        <f>year_heating</f>
        <v>0.8</v>
      </c>
      <c r="F8" s="84">
        <f>system_loss_selected</f>
        <v>0.2</v>
      </c>
      <c r="G8" s="92">
        <f t="shared" si="0"/>
        <v>12.5</v>
      </c>
    </row>
    <row r="9" spans="1:7" ht="24" thickBot="1">
      <c r="A9" s="94" t="s">
        <v>61</v>
      </c>
      <c r="B9" s="95" t="s">
        <v>124</v>
      </c>
      <c r="C9" s="95">
        <v>3412</v>
      </c>
      <c r="D9" s="96">
        <f>elect_rate</f>
        <v>0.17</v>
      </c>
      <c r="E9" s="97">
        <f>Calcs!B39/3.412</f>
        <v>1.7884499477868296</v>
      </c>
      <c r="F9" s="97">
        <f>system_loss_selected</f>
        <v>0.2</v>
      </c>
      <c r="G9" s="98">
        <f t="shared" si="0"/>
        <v>34.823556370890486</v>
      </c>
    </row>
    <row r="11" spans="1:7">
      <c r="F11" s="38"/>
      <c r="G11" s="9" t="s">
        <v>129</v>
      </c>
    </row>
    <row r="12" spans="1:7">
      <c r="F12" s="9" t="str">
        <f>IF(Calcs!AA30="yes",me_unit&amp;" (&gt; "&amp;Calcs!AA31&amp;"°F)",me_unit)</f>
        <v>MXZ-8C48NAHZ (Non-Ducted)</v>
      </c>
      <c r="G12" s="86">
        <f>G6</f>
        <v>19.409654006394383</v>
      </c>
    </row>
    <row r="13" spans="1:7">
      <c r="F13" s="9" t="str">
        <f>exist_heat</f>
        <v>Electric</v>
      </c>
      <c r="G13" s="86">
        <f>VLOOKUP(F13,per_btu,7,FALSE)</f>
        <v>49.824150058616652</v>
      </c>
    </row>
    <row r="15" spans="1:7">
      <c r="E15" s="1"/>
      <c r="F15" s="141"/>
    </row>
    <row r="16" spans="1:7">
      <c r="E16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workbookViewId="0">
      <selection activeCell="N14" sqref="N14"/>
    </sheetView>
  </sheetViews>
  <sheetFormatPr defaultRowHeight="14.5"/>
  <cols>
    <col min="5" max="7" width="9.1796875" customWidth="1"/>
    <col min="9" max="9" width="11" bestFit="1" customWidth="1"/>
    <col min="10" max="10" width="10.1796875" style="184" bestFit="1" customWidth="1"/>
    <col min="11" max="11" width="11.453125" style="184" bestFit="1" customWidth="1"/>
    <col min="12" max="12" width="12.7265625" style="184" bestFit="1" customWidth="1"/>
    <col min="13" max="13" width="10.1796875" style="184" customWidth="1"/>
    <col min="14" max="14" width="16.7265625" bestFit="1" customWidth="1"/>
    <col min="16" max="16" width="14.453125" bestFit="1" customWidth="1"/>
    <col min="17" max="17" width="11.54296875" bestFit="1" customWidth="1"/>
    <col min="18" max="18" width="9.81640625" hidden="1" customWidth="1"/>
    <col min="19" max="19" width="13.1796875" bestFit="1" customWidth="1"/>
    <col min="23" max="23" width="16.453125" bestFit="1" customWidth="1"/>
    <col min="24" max="24" width="8.81640625" bestFit="1" customWidth="1"/>
    <col min="25" max="25" width="14.453125" bestFit="1" customWidth="1"/>
    <col min="26" max="26" width="11.54296875" bestFit="1" customWidth="1"/>
    <col min="27" max="27" width="3.54296875" hidden="1" customWidth="1"/>
    <col min="28" max="28" width="13.1796875" bestFit="1" customWidth="1"/>
  </cols>
  <sheetData>
    <row r="1" spans="1:28">
      <c r="A1" s="184"/>
      <c r="B1" s="184"/>
      <c r="C1" s="184" t="s">
        <v>358</v>
      </c>
      <c r="D1" s="184" t="s">
        <v>359</v>
      </c>
    </row>
    <row r="2" spans="1:28" s="184" customFormat="1">
      <c r="B2" s="10" t="s">
        <v>17</v>
      </c>
      <c r="C2" s="184">
        <f>HLOOKUP(Local,weather,32,FALSE)</f>
        <v>86</v>
      </c>
      <c r="D2" s="184">
        <v>72</v>
      </c>
    </row>
    <row r="3" spans="1:28" s="184" customFormat="1">
      <c r="B3" s="10" t="s">
        <v>16</v>
      </c>
      <c r="C3" s="184">
        <f>HLOOKUP(Local,weather,33,FALSE)</f>
        <v>4</v>
      </c>
      <c r="D3" s="184">
        <v>68</v>
      </c>
    </row>
    <row r="4" spans="1:28" s="184" customFormat="1">
      <c r="A4" s="482" t="s">
        <v>1</v>
      </c>
      <c r="B4" s="482"/>
      <c r="C4" s="277" t="s">
        <v>52</v>
      </c>
      <c r="D4" s="277" t="s">
        <v>2</v>
      </c>
      <c r="E4" s="277" t="s">
        <v>63</v>
      </c>
      <c r="F4" s="277" t="s">
        <v>137</v>
      </c>
      <c r="G4" s="278" t="s">
        <v>7</v>
      </c>
      <c r="H4" s="278" t="s">
        <v>21</v>
      </c>
      <c r="I4" s="278" t="s">
        <v>50</v>
      </c>
      <c r="J4" s="308" t="s">
        <v>367</v>
      </c>
      <c r="K4" s="308" t="s">
        <v>368</v>
      </c>
      <c r="L4" s="308" t="s">
        <v>369</v>
      </c>
      <c r="N4" s="277" t="s">
        <v>353</v>
      </c>
      <c r="O4" s="277" t="s">
        <v>354</v>
      </c>
      <c r="P4" s="277" t="s">
        <v>355</v>
      </c>
      <c r="Q4" s="277" t="s">
        <v>356</v>
      </c>
      <c r="R4" s="277" t="s">
        <v>357</v>
      </c>
      <c r="S4" s="305" t="s">
        <v>371</v>
      </c>
    </row>
    <row r="5" spans="1:28" s="184" customFormat="1">
      <c r="A5" s="279">
        <v>-30</v>
      </c>
      <c r="B5" s="279">
        <v>-25</v>
      </c>
      <c r="C5" s="28">
        <f t="shared" ref="C5:C8" si="0">(A5+B5)/2</f>
        <v>-27.5</v>
      </c>
      <c r="D5" s="280">
        <f t="shared" ref="D5:D23" si="1">HLOOKUP(Local,weather,MATCH(C5,binavg,0),FALSE)</f>
        <v>0</v>
      </c>
      <c r="E5" s="281">
        <f t="shared" ref="E5:E8" si="2">D5*H5</f>
        <v>0</v>
      </c>
      <c r="F5" s="138">
        <v>1</v>
      </c>
      <c r="G5" s="282">
        <f t="shared" ref="G5:G10" si="3">G6*0.95</f>
        <v>1.4392731672492185</v>
      </c>
      <c r="H5" s="283">
        <f>IF(($D$3-C5)&lt;5,0,IF(($D$3-C5)&gt;=($D$3-$C$3),1,MAX(0,MIN(1,(($D$3-8)-C5)/($D$3-($C$3-5))))))</f>
        <v>1</v>
      </c>
      <c r="I5" s="284">
        <f t="shared" ref="I5:I23" si="4">H5*heat_load</f>
        <v>45000</v>
      </c>
      <c r="J5" s="284">
        <f>IF($D5=0,0,IF($I5&lt;=I$5,$I5*$D5*$F5,J$4*$D5*$F5))</f>
        <v>0</v>
      </c>
      <c r="K5" s="284">
        <f>SUM(J5:J$23)</f>
        <v>57435177.865612641</v>
      </c>
      <c r="L5" s="317">
        <f t="shared" ref="L5:L23" si="5">IF(K5=0,0,K5/$J$24)</f>
        <v>1</v>
      </c>
      <c r="N5" s="20" t="s">
        <v>288</v>
      </c>
      <c r="O5" s="294">
        <f t="shared" ref="O5:O19" si="6">VLOOKUP(N5,non_table,3,FALSE)</f>
        <v>14000</v>
      </c>
      <c r="P5" s="292">
        <f t="shared" ref="P5:P19" si="7">O5/heat_load</f>
        <v>0.31111111111111112</v>
      </c>
      <c r="Q5" s="311">
        <f t="shared" ref="Q5:Q19" si="8">HLOOKUP(N5,nondisplaced,33,FALSE)</f>
        <v>0.58888800926594986</v>
      </c>
      <c r="R5" s="293">
        <f>IF(Q5&gt;1,3,3*Q5)</f>
        <v>1.7666640277978496</v>
      </c>
      <c r="S5" s="332">
        <f t="shared" ref="S5:S16" si="9">HLOOKUP(N5,balance,200, FALSE)</f>
        <v>40</v>
      </c>
    </row>
    <row r="6" spans="1:28">
      <c r="A6" s="279">
        <v>-25</v>
      </c>
      <c r="B6" s="279">
        <v>-20</v>
      </c>
      <c r="C6" s="28">
        <f t="shared" si="0"/>
        <v>-22.5</v>
      </c>
      <c r="D6" s="28">
        <f t="shared" si="1"/>
        <v>0</v>
      </c>
      <c r="E6" s="281">
        <f t="shared" si="2"/>
        <v>0</v>
      </c>
      <c r="F6" s="138">
        <v>1</v>
      </c>
      <c r="G6" s="282">
        <f t="shared" si="3"/>
        <v>1.5150243865781248</v>
      </c>
      <c r="H6" s="283">
        <f t="shared" ref="H6:H23" si="10">IF(($D$3-C6)&lt;5,0,IF(($D$3-C6)&gt;=($D$3-$C$3),1,MAX(0,MIN(1,(($D$3-8)-C6)/($D$3-($C$3-5))))))</f>
        <v>1</v>
      </c>
      <c r="I6" s="284">
        <f t="shared" si="4"/>
        <v>45000</v>
      </c>
      <c r="J6" s="284">
        <f t="shared" ref="J6:J23" si="11">IF($D6=0,0,IF($I6&lt;=I$5,$I6*$D6*$F6,J$4*$D6*$F6))</f>
        <v>0</v>
      </c>
      <c r="K6" s="284">
        <f>SUM(J6:J$23)</f>
        <v>57435177.865612641</v>
      </c>
      <c r="L6" s="317">
        <f t="shared" si="5"/>
        <v>1</v>
      </c>
      <c r="N6" s="21" t="s">
        <v>11</v>
      </c>
      <c r="O6" s="294">
        <f t="shared" si="6"/>
        <v>18000</v>
      </c>
      <c r="P6" s="295">
        <f t="shared" si="7"/>
        <v>0.4</v>
      </c>
      <c r="Q6" s="311">
        <f t="shared" si="8"/>
        <v>0.66676439143935706</v>
      </c>
      <c r="R6" s="296">
        <f t="shared" ref="R6:R19" si="12">IF(Q6&gt;1,3,3*Q6)</f>
        <v>2.0002931743180712</v>
      </c>
      <c r="S6" s="332">
        <f t="shared" si="9"/>
        <v>36</v>
      </c>
    </row>
    <row r="7" spans="1:28">
      <c r="A7" s="279">
        <v>-20</v>
      </c>
      <c r="B7" s="279">
        <v>-15</v>
      </c>
      <c r="C7" s="28">
        <f t="shared" si="0"/>
        <v>-17.5</v>
      </c>
      <c r="D7" s="28">
        <f t="shared" si="1"/>
        <v>0</v>
      </c>
      <c r="E7" s="281">
        <f t="shared" si="2"/>
        <v>0</v>
      </c>
      <c r="F7" s="138">
        <v>1</v>
      </c>
      <c r="G7" s="282">
        <f t="shared" si="3"/>
        <v>1.5947625121874998</v>
      </c>
      <c r="H7" s="283">
        <f t="shared" si="10"/>
        <v>1</v>
      </c>
      <c r="I7" s="284">
        <f t="shared" si="4"/>
        <v>45000</v>
      </c>
      <c r="J7" s="284">
        <f t="shared" si="11"/>
        <v>0</v>
      </c>
      <c r="K7" s="284">
        <f>SUM(J7:J$23)</f>
        <v>57435177.865612641</v>
      </c>
      <c r="L7" s="317">
        <f t="shared" si="5"/>
        <v>1</v>
      </c>
      <c r="N7" s="21" t="s">
        <v>12</v>
      </c>
      <c r="O7" s="294">
        <f t="shared" si="6"/>
        <v>21000</v>
      </c>
      <c r="P7" s="295">
        <f t="shared" si="7"/>
        <v>0.46666666666666667</v>
      </c>
      <c r="Q7" s="311">
        <f t="shared" si="8"/>
        <v>0.72172615606832546</v>
      </c>
      <c r="R7" s="296">
        <f t="shared" si="12"/>
        <v>2.1651784682049762</v>
      </c>
      <c r="S7" s="332">
        <f t="shared" si="9"/>
        <v>33.5</v>
      </c>
    </row>
    <row r="8" spans="1:28">
      <c r="A8" s="279">
        <v>-15</v>
      </c>
      <c r="B8" s="279">
        <v>-10</v>
      </c>
      <c r="C8" s="28">
        <f t="shared" si="0"/>
        <v>-12.5</v>
      </c>
      <c r="D8" s="28">
        <f t="shared" si="1"/>
        <v>0</v>
      </c>
      <c r="E8" s="281">
        <f t="shared" si="2"/>
        <v>0</v>
      </c>
      <c r="F8" s="138">
        <v>1</v>
      </c>
      <c r="G8" s="282">
        <f t="shared" si="3"/>
        <v>1.6786973812499999</v>
      </c>
      <c r="H8" s="283">
        <f t="shared" si="10"/>
        <v>1</v>
      </c>
      <c r="I8" s="284">
        <f t="shared" si="4"/>
        <v>45000</v>
      </c>
      <c r="J8" s="284">
        <f t="shared" si="11"/>
        <v>0</v>
      </c>
      <c r="K8" s="284">
        <f>SUM(J8:J$23)</f>
        <v>57435177.865612641</v>
      </c>
      <c r="L8" s="317">
        <f t="shared" si="5"/>
        <v>1</v>
      </c>
      <c r="N8" s="21" t="s">
        <v>13</v>
      </c>
      <c r="O8" s="294">
        <f t="shared" si="6"/>
        <v>24000</v>
      </c>
      <c r="P8" s="295">
        <f t="shared" si="7"/>
        <v>0.53333333333333333</v>
      </c>
      <c r="Q8" s="311">
        <f t="shared" si="8"/>
        <v>0.81946026025406049</v>
      </c>
      <c r="R8" s="296">
        <f t="shared" si="12"/>
        <v>2.4583807807621816</v>
      </c>
      <c r="S8" s="332">
        <f t="shared" si="9"/>
        <v>29</v>
      </c>
    </row>
    <row r="9" spans="1:28">
      <c r="A9" s="28">
        <v>-10</v>
      </c>
      <c r="B9" s="28">
        <v>-5</v>
      </c>
      <c r="C9" s="28">
        <f>(A9+B9)/2</f>
        <v>-7.5</v>
      </c>
      <c r="D9" s="28">
        <f t="shared" si="1"/>
        <v>0</v>
      </c>
      <c r="E9" s="281">
        <f>D9*H9</f>
        <v>0</v>
      </c>
      <c r="F9" s="138">
        <v>1</v>
      </c>
      <c r="G9" s="282">
        <f t="shared" si="3"/>
        <v>1.7670498749999999</v>
      </c>
      <c r="H9" s="283">
        <f>IF(($D$3-C9)&lt;5,0,IF(($D$3-C9)&gt;=($D$3-$C$3),1,MAX(0,MIN(1,(($D$3-8)-C9)/($D$3-($C$3-5))))))</f>
        <v>1</v>
      </c>
      <c r="I9" s="284">
        <f t="shared" si="4"/>
        <v>45000</v>
      </c>
      <c r="J9" s="284">
        <f t="shared" si="11"/>
        <v>0</v>
      </c>
      <c r="K9" s="284">
        <f>SUM(J9:J$23)</f>
        <v>57435177.865612641</v>
      </c>
      <c r="L9" s="317">
        <f t="shared" si="5"/>
        <v>1</v>
      </c>
      <c r="N9" s="21" t="s">
        <v>292</v>
      </c>
      <c r="O9" s="294">
        <f t="shared" si="6"/>
        <v>30000</v>
      </c>
      <c r="P9" s="295">
        <f t="shared" si="7"/>
        <v>0.66666666666666663</v>
      </c>
      <c r="Q9" s="311">
        <f t="shared" si="8"/>
        <v>0.86925078304081915</v>
      </c>
      <c r="R9" s="296">
        <f t="shared" si="12"/>
        <v>2.6077523491224577</v>
      </c>
      <c r="S9" s="332">
        <f t="shared" si="9"/>
        <v>25</v>
      </c>
    </row>
    <row r="10" spans="1:28">
      <c r="A10" s="28">
        <v>-5</v>
      </c>
      <c r="B10" s="28">
        <v>0</v>
      </c>
      <c r="C10" s="28">
        <f t="shared" ref="C10:C23" si="13">(A10+B10)/2</f>
        <v>-2.5</v>
      </c>
      <c r="D10" s="28">
        <f t="shared" si="1"/>
        <v>1</v>
      </c>
      <c r="E10" s="281">
        <f t="shared" ref="E10:E23" si="14">D10*H10</f>
        <v>1</v>
      </c>
      <c r="F10" s="138">
        <v>1</v>
      </c>
      <c r="G10" s="282">
        <f t="shared" si="3"/>
        <v>1.8600524999999999</v>
      </c>
      <c r="H10" s="283">
        <f t="shared" si="10"/>
        <v>1</v>
      </c>
      <c r="I10" s="284">
        <f t="shared" si="4"/>
        <v>45000</v>
      </c>
      <c r="J10" s="284">
        <f t="shared" si="11"/>
        <v>45000</v>
      </c>
      <c r="K10" s="284">
        <f>SUM(J10:J$23)</f>
        <v>57435177.865612641</v>
      </c>
      <c r="L10" s="317">
        <f t="shared" si="5"/>
        <v>1</v>
      </c>
      <c r="N10" s="21" t="s">
        <v>451</v>
      </c>
      <c r="O10" s="294">
        <f t="shared" ref="O10:O13" si="15">VLOOKUP(N10,non_table,3,FALSE)</f>
        <v>19000</v>
      </c>
      <c r="P10" s="295">
        <f t="shared" ref="P10:P13" si="16">O10/heat_load</f>
        <v>0.42222222222222222</v>
      </c>
      <c r="Q10" s="311">
        <f t="shared" si="8"/>
        <v>0.6976668622777662</v>
      </c>
      <c r="R10" s="296">
        <f t="shared" ref="R10:R13" si="17">IF(Q10&gt;1,3,3*Q10)</f>
        <v>2.0930005868332984</v>
      </c>
      <c r="S10" s="332" t="e">
        <f t="shared" ref="S10:S13" si="18">HLOOKUP(N10,balance,200, FALSE)</f>
        <v>#N/A</v>
      </c>
      <c r="T10" s="184"/>
      <c r="U10" s="184"/>
      <c r="V10" s="184"/>
      <c r="W10" s="184"/>
      <c r="X10" s="184"/>
      <c r="Y10" s="184"/>
      <c r="Z10" s="184"/>
      <c r="AA10" s="184"/>
      <c r="AB10" s="184"/>
    </row>
    <row r="11" spans="1:28">
      <c r="A11" s="28">
        <v>0</v>
      </c>
      <c r="B11" s="28">
        <v>5</v>
      </c>
      <c r="C11" s="28">
        <f t="shared" si="13"/>
        <v>2.5</v>
      </c>
      <c r="D11" s="28">
        <f t="shared" si="1"/>
        <v>31</v>
      </c>
      <c r="E11" s="281">
        <f t="shared" si="14"/>
        <v>31</v>
      </c>
      <c r="F11" s="138">
        <v>1</v>
      </c>
      <c r="G11" s="282">
        <f>G12*0.95</f>
        <v>1.9579499999999999</v>
      </c>
      <c r="H11" s="283">
        <f t="shared" si="10"/>
        <v>1</v>
      </c>
      <c r="I11" s="284">
        <f t="shared" si="4"/>
        <v>45000</v>
      </c>
      <c r="J11" s="284">
        <f t="shared" si="11"/>
        <v>1395000</v>
      </c>
      <c r="K11" s="284">
        <f>SUM(J11:J$23)</f>
        <v>57390177.865612641</v>
      </c>
      <c r="L11" s="317">
        <f t="shared" si="5"/>
        <v>0.9992165080413733</v>
      </c>
      <c r="N11" s="21" t="s">
        <v>452</v>
      </c>
      <c r="O11" s="294">
        <f t="shared" si="15"/>
        <v>22800</v>
      </c>
      <c r="P11" s="295">
        <f t="shared" si="16"/>
        <v>0.50666666666666671</v>
      </c>
      <c r="Q11" s="311">
        <f t="shared" si="8"/>
        <v>0.74872417925078694</v>
      </c>
      <c r="R11" s="296">
        <f t="shared" si="17"/>
        <v>2.2461725377523609</v>
      </c>
      <c r="S11" s="332" t="e">
        <f t="shared" si="18"/>
        <v>#N/A</v>
      </c>
      <c r="T11" s="184"/>
      <c r="U11" s="184"/>
      <c r="V11" s="184"/>
      <c r="W11" s="184"/>
      <c r="X11" s="184"/>
      <c r="Y11" s="184"/>
      <c r="Z11" s="184"/>
      <c r="AA11" s="184"/>
      <c r="AB11" s="184"/>
    </row>
    <row r="12" spans="1:28">
      <c r="A12" s="28">
        <v>5</v>
      </c>
      <c r="B12" s="28">
        <v>10</v>
      </c>
      <c r="C12" s="28">
        <f t="shared" si="13"/>
        <v>7.5</v>
      </c>
      <c r="D12" s="28">
        <f t="shared" si="1"/>
        <v>64</v>
      </c>
      <c r="E12" s="281">
        <f t="shared" si="14"/>
        <v>48.695652173913047</v>
      </c>
      <c r="F12" s="138">
        <v>1</v>
      </c>
      <c r="G12" s="282">
        <f>cop_5</f>
        <v>2.0609999999999999</v>
      </c>
      <c r="H12" s="283">
        <f t="shared" si="10"/>
        <v>0.76086956521739135</v>
      </c>
      <c r="I12" s="284">
        <f t="shared" si="4"/>
        <v>34239.130434782608</v>
      </c>
      <c r="J12" s="284">
        <f t="shared" si="11"/>
        <v>2191304.3478260869</v>
      </c>
      <c r="K12" s="284">
        <f>SUM(J12:J$23)</f>
        <v>55995177.865612641</v>
      </c>
      <c r="L12" s="317">
        <f t="shared" si="5"/>
        <v>0.97492825732394661</v>
      </c>
      <c r="N12" s="21" t="s">
        <v>453</v>
      </c>
      <c r="O12" s="294">
        <f t="shared" si="15"/>
        <v>25000</v>
      </c>
      <c r="P12" s="295">
        <f t="shared" si="16"/>
        <v>0.55555555555555558</v>
      </c>
      <c r="Q12" s="311">
        <f t="shared" si="8"/>
        <v>0.86000860954168046</v>
      </c>
      <c r="R12" s="296">
        <f t="shared" si="17"/>
        <v>2.5800258286250415</v>
      </c>
      <c r="S12" s="332" t="e">
        <f t="shared" si="18"/>
        <v>#N/A</v>
      </c>
      <c r="T12" s="184"/>
      <c r="U12" s="184"/>
      <c r="V12" s="184"/>
      <c r="W12" s="184"/>
      <c r="X12" s="184"/>
      <c r="Y12" s="184"/>
      <c r="Z12" s="184"/>
      <c r="AA12" s="184"/>
      <c r="AB12" s="184"/>
    </row>
    <row r="13" spans="1:28">
      <c r="A13" s="28">
        <v>10</v>
      </c>
      <c r="B13" s="28">
        <v>15</v>
      </c>
      <c r="C13" s="28">
        <f t="shared" si="13"/>
        <v>12.5</v>
      </c>
      <c r="D13" s="28">
        <f t="shared" si="1"/>
        <v>220</v>
      </c>
      <c r="E13" s="281">
        <f>D13*H13</f>
        <v>151.44927536231882</v>
      </c>
      <c r="F13" s="285">
        <f>F12-($F$12-$F$23)/11</f>
        <v>0.92727272727272725</v>
      </c>
      <c r="G13" s="282">
        <f>(G12+G14)/2</f>
        <v>2.286</v>
      </c>
      <c r="H13" s="283">
        <f>IF(($D$3-C13)&lt;5,0,IF(($D$3-C13)&gt;=($D$3-$C$3),1,MAX(0,MIN(1,(($D$3-8)-C13)/($D$3-($C$3-5))))))</f>
        <v>0.68840579710144922</v>
      </c>
      <c r="I13" s="284">
        <f>H13*heat_load</f>
        <v>30978.260869565216</v>
      </c>
      <c r="J13" s="284">
        <f t="shared" si="11"/>
        <v>6319565.2173913037</v>
      </c>
      <c r="K13" s="284">
        <f>SUM(J13:J$23)</f>
        <v>53803873.517786555</v>
      </c>
      <c r="L13" s="317">
        <f t="shared" si="5"/>
        <v>0.93677560542560445</v>
      </c>
      <c r="N13" s="21" t="s">
        <v>454</v>
      </c>
      <c r="O13" s="294">
        <f t="shared" si="15"/>
        <v>29000</v>
      </c>
      <c r="P13" s="295">
        <f t="shared" si="16"/>
        <v>0.64444444444444449</v>
      </c>
      <c r="Q13" s="311">
        <f t="shared" si="8"/>
        <v>0.90718218816500096</v>
      </c>
      <c r="R13" s="296">
        <f t="shared" si="17"/>
        <v>2.7215465644950028</v>
      </c>
      <c r="S13" s="332" t="e">
        <f t="shared" si="18"/>
        <v>#N/A</v>
      </c>
      <c r="T13" s="184"/>
      <c r="U13" s="184"/>
      <c r="V13" s="184"/>
      <c r="W13" s="184"/>
      <c r="X13" s="184"/>
      <c r="Y13" s="184"/>
      <c r="Z13" s="184"/>
      <c r="AA13" s="184"/>
      <c r="AB13" s="184"/>
    </row>
    <row r="14" spans="1:28">
      <c r="A14" s="28">
        <v>15</v>
      </c>
      <c r="B14" s="28">
        <v>20</v>
      </c>
      <c r="C14" s="28">
        <f t="shared" si="13"/>
        <v>17.5</v>
      </c>
      <c r="D14" s="28">
        <f t="shared" si="1"/>
        <v>465</v>
      </c>
      <c r="E14" s="281">
        <f t="shared" si="14"/>
        <v>286.41304347826087</v>
      </c>
      <c r="F14" s="285">
        <f t="shared" ref="F14:F22" si="19">F13-($F$12-$F$23)/11</f>
        <v>0.8545454545454545</v>
      </c>
      <c r="G14" s="282">
        <f>cop_17</f>
        <v>2.5110000000000001</v>
      </c>
      <c r="H14" s="283">
        <f t="shared" si="10"/>
        <v>0.61594202898550721</v>
      </c>
      <c r="I14" s="284">
        <f t="shared" si="4"/>
        <v>27717.391304347824</v>
      </c>
      <c r="J14" s="284">
        <f t="shared" si="11"/>
        <v>11013883.399209484</v>
      </c>
      <c r="K14" s="284">
        <f>SUM(J14:J$23)</f>
        <v>47484308.30039525</v>
      </c>
      <c r="L14" s="317">
        <f t="shared" si="5"/>
        <v>0.82674608254020687</v>
      </c>
      <c r="N14" s="21" t="s">
        <v>347</v>
      </c>
      <c r="O14" s="294">
        <f t="shared" si="6"/>
        <v>22000</v>
      </c>
      <c r="P14" s="295">
        <f t="shared" si="7"/>
        <v>0.48888888888888887</v>
      </c>
      <c r="Q14" s="311">
        <f t="shared" si="8"/>
        <v>0.88794225488779244</v>
      </c>
      <c r="R14" s="296">
        <f t="shared" si="12"/>
        <v>2.6638267646633773</v>
      </c>
      <c r="S14" s="332">
        <f t="shared" si="9"/>
        <v>26.5</v>
      </c>
    </row>
    <row r="15" spans="1:28">
      <c r="A15" s="28">
        <v>20</v>
      </c>
      <c r="B15" s="28">
        <v>25</v>
      </c>
      <c r="C15" s="28">
        <f t="shared" si="13"/>
        <v>22.5</v>
      </c>
      <c r="D15" s="28">
        <f t="shared" si="1"/>
        <v>404</v>
      </c>
      <c r="E15" s="281">
        <f t="shared" si="14"/>
        <v>219.56521739130434</v>
      </c>
      <c r="F15" s="285">
        <f t="shared" si="19"/>
        <v>0.78181818181818175</v>
      </c>
      <c r="G15" s="282">
        <f>($G$20-$G$14)/6+G14</f>
        <v>2.7175000000000002</v>
      </c>
      <c r="H15" s="283">
        <f t="shared" si="10"/>
        <v>0.54347826086956519</v>
      </c>
      <c r="I15" s="284">
        <f t="shared" si="4"/>
        <v>24456.521739130432</v>
      </c>
      <c r="J15" s="284">
        <f t="shared" si="11"/>
        <v>7724703.557312252</v>
      </c>
      <c r="K15" s="284">
        <f>SUM(J15:J$23)</f>
        <v>36470424.901185766</v>
      </c>
      <c r="L15" s="317">
        <f t="shared" si="5"/>
        <v>0.63498410306170905</v>
      </c>
      <c r="N15" s="21" t="s">
        <v>348</v>
      </c>
      <c r="O15" s="294">
        <f t="shared" si="6"/>
        <v>25000</v>
      </c>
      <c r="P15" s="295">
        <f t="shared" si="7"/>
        <v>0.55555555555555558</v>
      </c>
      <c r="Q15" s="311">
        <f t="shared" si="8"/>
        <v>0.93778791695054053</v>
      </c>
      <c r="R15" s="296">
        <f t="shared" si="12"/>
        <v>2.8133637508516216</v>
      </c>
      <c r="S15" s="332">
        <f t="shared" si="9"/>
        <v>22</v>
      </c>
    </row>
    <row r="16" spans="1:28">
      <c r="A16" s="28">
        <v>25</v>
      </c>
      <c r="B16" s="28">
        <v>30</v>
      </c>
      <c r="C16" s="28">
        <f t="shared" si="13"/>
        <v>27.5</v>
      </c>
      <c r="D16" s="28">
        <f t="shared" si="1"/>
        <v>374</v>
      </c>
      <c r="E16" s="281">
        <f t="shared" si="14"/>
        <v>176.15942028985506</v>
      </c>
      <c r="F16" s="285">
        <f t="shared" si="19"/>
        <v>0.70909090909090899</v>
      </c>
      <c r="G16" s="282">
        <f>($G$20-$G$14)/6+G15</f>
        <v>2.9240000000000004</v>
      </c>
      <c r="H16" s="283">
        <f t="shared" si="10"/>
        <v>0.47101449275362317</v>
      </c>
      <c r="I16" s="284">
        <f>H16*heat_load</f>
        <v>21195.652173913044</v>
      </c>
      <c r="J16" s="284">
        <f t="shared" si="11"/>
        <v>5621086.9565217383</v>
      </c>
      <c r="K16" s="284">
        <f>SUM(J16:J$23)</f>
        <v>28745721.343873508</v>
      </c>
      <c r="L16" s="317">
        <f t="shared" si="5"/>
        <v>0.50048981150773164</v>
      </c>
      <c r="N16" s="21" t="s">
        <v>349</v>
      </c>
      <c r="O16" s="294">
        <f t="shared" si="6"/>
        <v>28600</v>
      </c>
      <c r="P16" s="295">
        <f t="shared" si="7"/>
        <v>0.63555555555555554</v>
      </c>
      <c r="Q16" s="311">
        <f t="shared" si="8"/>
        <v>0.97528536311772684</v>
      </c>
      <c r="R16" s="296">
        <f t="shared" si="12"/>
        <v>2.9258560893531804</v>
      </c>
      <c r="S16" s="332">
        <f t="shared" si="9"/>
        <v>16.5</v>
      </c>
    </row>
    <row r="17" spans="1:28">
      <c r="A17" s="28">
        <v>30</v>
      </c>
      <c r="B17" s="28">
        <v>35</v>
      </c>
      <c r="C17" s="28">
        <f t="shared" si="13"/>
        <v>32.5</v>
      </c>
      <c r="D17" s="28">
        <f t="shared" si="1"/>
        <v>641</v>
      </c>
      <c r="E17" s="281">
        <f t="shared" si="14"/>
        <v>255.47101449275362</v>
      </c>
      <c r="F17" s="285">
        <f t="shared" si="19"/>
        <v>0.63636363636363624</v>
      </c>
      <c r="G17" s="282">
        <f>($G$20-$G$14)/6+G16</f>
        <v>3.1305000000000005</v>
      </c>
      <c r="H17" s="283">
        <f>IF(($D$3-C17)&lt;5,0,IF(($D$3-C17)&gt;=($D$3-$C$3),1,MAX(0,MIN(1,(($D$3-8)-C17)/($D$3-($C$3-5))))))</f>
        <v>0.39855072463768115</v>
      </c>
      <c r="I17" s="284">
        <f t="shared" si="4"/>
        <v>17934.782608695652</v>
      </c>
      <c r="J17" s="284">
        <f t="shared" si="11"/>
        <v>7315760.8695652159</v>
      </c>
      <c r="K17" s="284">
        <f>SUM(J17:J$23)</f>
        <v>23124634.387351774</v>
      </c>
      <c r="L17" s="317">
        <f t="shared" si="5"/>
        <v>0.40262144641493069</v>
      </c>
      <c r="N17" s="21" t="s">
        <v>350</v>
      </c>
      <c r="O17" s="294">
        <f t="shared" si="6"/>
        <v>45000</v>
      </c>
      <c r="P17" s="295">
        <f t="shared" si="7"/>
        <v>1</v>
      </c>
      <c r="Q17" s="311">
        <f t="shared" si="8"/>
        <v>0.99866806367033467</v>
      </c>
      <c r="R17" s="296">
        <f t="shared" si="12"/>
        <v>2.996004191011004</v>
      </c>
      <c r="S17" s="332">
        <f>HLOOKUP(N17,balance,200, TRUE)</f>
        <v>20</v>
      </c>
    </row>
    <row r="18" spans="1:28">
      <c r="A18" s="28">
        <v>35</v>
      </c>
      <c r="B18" s="28">
        <v>40</v>
      </c>
      <c r="C18" s="28">
        <f t="shared" si="13"/>
        <v>37.5</v>
      </c>
      <c r="D18" s="28">
        <f t="shared" si="1"/>
        <v>941</v>
      </c>
      <c r="E18" s="281">
        <f t="shared" si="14"/>
        <v>306.8478260869565</v>
      </c>
      <c r="F18" s="285">
        <f t="shared" si="19"/>
        <v>0.56363636363636349</v>
      </c>
      <c r="G18" s="282">
        <f>($G$20-$G$14)/6+G17</f>
        <v>3.3370000000000006</v>
      </c>
      <c r="H18" s="283">
        <f t="shared" si="10"/>
        <v>0.32608695652173914</v>
      </c>
      <c r="I18" s="284">
        <f t="shared" si="4"/>
        <v>14673.913043478262</v>
      </c>
      <c r="J18" s="284">
        <f t="shared" si="11"/>
        <v>7782776.6798418956</v>
      </c>
      <c r="K18" s="284">
        <f>SUM(J18:J$23)</f>
        <v>15808873.517786557</v>
      </c>
      <c r="L18" s="317">
        <f t="shared" si="5"/>
        <v>0.27524722835848625</v>
      </c>
      <c r="N18" s="21" t="s">
        <v>351</v>
      </c>
      <c r="O18" s="294">
        <f t="shared" si="6"/>
        <v>48000</v>
      </c>
      <c r="P18" s="295">
        <f t="shared" si="7"/>
        <v>1.0666666666666667</v>
      </c>
      <c r="Q18" s="311">
        <f t="shared" si="8"/>
        <v>0.99992687408386149</v>
      </c>
      <c r="R18" s="296">
        <f t="shared" si="12"/>
        <v>2.9997806222515844</v>
      </c>
      <c r="S18" s="332">
        <f>HLOOKUP(N18,balance,200, TRUE)</f>
        <v>2</v>
      </c>
    </row>
    <row r="19" spans="1:28">
      <c r="A19" s="28">
        <v>40</v>
      </c>
      <c r="B19" s="28">
        <v>45</v>
      </c>
      <c r="C19" s="28">
        <f t="shared" si="13"/>
        <v>42.5</v>
      </c>
      <c r="D19" s="28">
        <f t="shared" si="1"/>
        <v>783</v>
      </c>
      <c r="E19" s="281">
        <f t="shared" si="14"/>
        <v>198.58695652173915</v>
      </c>
      <c r="F19" s="285">
        <f t="shared" si="19"/>
        <v>0.49090909090909074</v>
      </c>
      <c r="G19" s="282">
        <f>($G$20-$G$14)/6+G18</f>
        <v>3.5435000000000008</v>
      </c>
      <c r="H19" s="283">
        <f t="shared" si="10"/>
        <v>0.25362318840579712</v>
      </c>
      <c r="I19" s="284">
        <f t="shared" si="4"/>
        <v>11413.04347826087</v>
      </c>
      <c r="J19" s="284">
        <f t="shared" si="11"/>
        <v>4386966.4031620538</v>
      </c>
      <c r="K19" s="284">
        <f>SUM(J19:J$23)</f>
        <v>8026096.8379446603</v>
      </c>
      <c r="L19" s="317">
        <f t="shared" si="5"/>
        <v>0.13974182959307963</v>
      </c>
      <c r="N19" s="24" t="s">
        <v>352</v>
      </c>
      <c r="O19" s="297">
        <f t="shared" si="6"/>
        <v>54000</v>
      </c>
      <c r="P19" s="298">
        <f t="shared" si="7"/>
        <v>1.2</v>
      </c>
      <c r="Q19" s="309">
        <f t="shared" si="8"/>
        <v>1</v>
      </c>
      <c r="R19" s="299">
        <f t="shared" si="12"/>
        <v>3</v>
      </c>
      <c r="S19" s="333">
        <f>HLOOKUP(N19,balance,200, TRUE)</f>
        <v>-3</v>
      </c>
    </row>
    <row r="20" spans="1:28">
      <c r="A20" s="28">
        <v>45</v>
      </c>
      <c r="B20" s="28">
        <v>50</v>
      </c>
      <c r="C20" s="28">
        <f t="shared" si="13"/>
        <v>47.5</v>
      </c>
      <c r="D20" s="28">
        <f t="shared" si="1"/>
        <v>696</v>
      </c>
      <c r="E20" s="281">
        <f t="shared" si="14"/>
        <v>126.08695652173913</v>
      </c>
      <c r="F20" s="285">
        <f t="shared" si="19"/>
        <v>0.41818181818181799</v>
      </c>
      <c r="G20" s="282">
        <f>cop_47</f>
        <v>3.75</v>
      </c>
      <c r="H20" s="283">
        <f t="shared" si="10"/>
        <v>0.18115942028985507</v>
      </c>
      <c r="I20" s="284">
        <f t="shared" si="4"/>
        <v>8152.173913043478</v>
      </c>
      <c r="J20" s="284">
        <f t="shared" si="11"/>
        <v>2372727.2727272715</v>
      </c>
      <c r="K20" s="284">
        <f>SUM(J20:J$23)</f>
        <v>3639130.434782607</v>
      </c>
      <c r="L20" s="317">
        <f t="shared" si="5"/>
        <v>6.3360654045461096E-2</v>
      </c>
    </row>
    <row r="21" spans="1:28">
      <c r="A21" s="28">
        <v>50</v>
      </c>
      <c r="B21" s="28">
        <v>55</v>
      </c>
      <c r="C21" s="28">
        <f t="shared" si="13"/>
        <v>52.5</v>
      </c>
      <c r="D21" s="28">
        <f t="shared" si="1"/>
        <v>565</v>
      </c>
      <c r="E21" s="281">
        <f t="shared" si="14"/>
        <v>61.413043478260867</v>
      </c>
      <c r="F21" s="285">
        <f t="shared" si="19"/>
        <v>0.34545454545454524</v>
      </c>
      <c r="G21" s="282">
        <f>G20</f>
        <v>3.75</v>
      </c>
      <c r="H21" s="283">
        <f t="shared" si="10"/>
        <v>0.10869565217391304</v>
      </c>
      <c r="I21" s="284">
        <f t="shared" si="4"/>
        <v>4891.304347826087</v>
      </c>
      <c r="J21" s="284">
        <f t="shared" si="11"/>
        <v>954693.67588932754</v>
      </c>
      <c r="K21" s="284">
        <f>SUM(J21:J$23)</f>
        <v>1266403.1620553352</v>
      </c>
      <c r="L21" s="317">
        <f t="shared" si="5"/>
        <v>2.2049259863327612E-2</v>
      </c>
    </row>
    <row r="22" spans="1:28">
      <c r="A22" s="28">
        <v>55</v>
      </c>
      <c r="B22" s="28">
        <v>60</v>
      </c>
      <c r="C22" s="28">
        <f t="shared" si="13"/>
        <v>57.5</v>
      </c>
      <c r="D22" s="28">
        <f t="shared" si="1"/>
        <v>701</v>
      </c>
      <c r="E22" s="281">
        <f t="shared" si="14"/>
        <v>25.398550724637683</v>
      </c>
      <c r="F22" s="285">
        <f t="shared" si="19"/>
        <v>0.27272727272727249</v>
      </c>
      <c r="G22" s="282">
        <f t="shared" ref="G22:G23" si="20">G21</f>
        <v>3.75</v>
      </c>
      <c r="H22" s="283">
        <f t="shared" si="10"/>
        <v>3.6231884057971016E-2</v>
      </c>
      <c r="I22" s="284">
        <f t="shared" si="4"/>
        <v>1630.4347826086957</v>
      </c>
      <c r="J22" s="284">
        <f t="shared" si="11"/>
        <v>311709.48616600764</v>
      </c>
      <c r="K22" s="284">
        <f>SUM(J22:J23)</f>
        <v>311709.48616600764</v>
      </c>
      <c r="L22" s="317">
        <f t="shared" si="5"/>
        <v>5.4271527964159594E-3</v>
      </c>
      <c r="N22" s="277" t="s">
        <v>353</v>
      </c>
      <c r="O22" s="277" t="s">
        <v>354</v>
      </c>
      <c r="P22" s="277" t="s">
        <v>355</v>
      </c>
      <c r="Q22" s="277" t="s">
        <v>356</v>
      </c>
      <c r="S22" s="277" t="s">
        <v>371</v>
      </c>
      <c r="W22" s="340" t="s">
        <v>353</v>
      </c>
      <c r="X22" s="340" t="s">
        <v>354</v>
      </c>
      <c r="Y22" s="340" t="s">
        <v>355</v>
      </c>
      <c r="Z22" s="340" t="s">
        <v>356</v>
      </c>
      <c r="AA22" s="341"/>
      <c r="AB22" s="340" t="s">
        <v>371</v>
      </c>
    </row>
    <row r="23" spans="1:28">
      <c r="A23" s="29">
        <v>60</v>
      </c>
      <c r="B23" s="29">
        <v>65</v>
      </c>
      <c r="C23" s="29">
        <f t="shared" si="13"/>
        <v>62.5</v>
      </c>
      <c r="D23" s="29">
        <f t="shared" si="1"/>
        <v>991</v>
      </c>
      <c r="E23" s="286">
        <f t="shared" si="14"/>
        <v>0</v>
      </c>
      <c r="F23" s="130">
        <v>0.2</v>
      </c>
      <c r="G23" s="287">
        <f t="shared" si="20"/>
        <v>3.75</v>
      </c>
      <c r="H23" s="288">
        <f t="shared" si="10"/>
        <v>0</v>
      </c>
      <c r="I23" s="289">
        <f t="shared" si="4"/>
        <v>0</v>
      </c>
      <c r="J23" s="289">
        <f t="shared" si="11"/>
        <v>0</v>
      </c>
      <c r="K23" s="289">
        <f>J23</f>
        <v>0</v>
      </c>
      <c r="L23" s="318">
        <f t="shared" si="5"/>
        <v>0</v>
      </c>
      <c r="N23" s="21" t="s">
        <v>283</v>
      </c>
      <c r="O23" s="294">
        <f t="shared" ref="O23:O33" si="21">VLOOKUP(N23,non_table,3,FALSE)</f>
        <v>14100</v>
      </c>
      <c r="P23" s="295">
        <f t="shared" ref="P23:P33" si="22">O23/heat_load</f>
        <v>0.31333333333333335</v>
      </c>
      <c r="Q23" s="311">
        <f t="shared" ref="Q23:Q33" si="23">HLOOKUP(N23,nondisplaced,33,FALSE)</f>
        <v>0.58950515559348182</v>
      </c>
      <c r="S23" s="332">
        <f t="shared" ref="S23:S33" si="24">HLOOKUP(N23,balance,200, FALSE)</f>
        <v>40</v>
      </c>
      <c r="W23" s="20" t="s">
        <v>250</v>
      </c>
      <c r="X23" s="291">
        <f t="shared" ref="X23:X31" si="25">VLOOKUP(W23,non_table,3,FALSE)</f>
        <v>10900</v>
      </c>
      <c r="Y23" s="292">
        <f t="shared" ref="Y23:Y31" si="26">X23/heat_load</f>
        <v>0.24222222222222223</v>
      </c>
      <c r="Z23" s="310">
        <f t="shared" ref="Z23:Z31" si="27">HLOOKUP(W23,nondisplaced,33,FALSE)</f>
        <v>0.43855251930915995</v>
      </c>
      <c r="AB23" s="332">
        <f t="shared" ref="AB23:AB29" si="28">HLOOKUP(W23,balance,200, FALSE)</f>
        <v>44</v>
      </c>
    </row>
    <row r="24" spans="1:28">
      <c r="J24" s="7">
        <f>SUM(J5:J23)</f>
        <v>57435177.865612641</v>
      </c>
      <c r="N24" s="21" t="s">
        <v>284</v>
      </c>
      <c r="O24" s="294">
        <f t="shared" si="21"/>
        <v>18100</v>
      </c>
      <c r="P24" s="295">
        <f t="shared" si="22"/>
        <v>0.4022222222222222</v>
      </c>
      <c r="Q24" s="311">
        <f t="shared" si="23"/>
        <v>0.66029870134477819</v>
      </c>
      <c r="S24" s="332">
        <f t="shared" si="24"/>
        <v>36</v>
      </c>
      <c r="W24" s="21" t="s">
        <v>251</v>
      </c>
      <c r="X24" s="294">
        <f t="shared" si="25"/>
        <v>13600</v>
      </c>
      <c r="Y24" s="295">
        <f t="shared" si="26"/>
        <v>0.30222222222222223</v>
      </c>
      <c r="Z24" s="311">
        <f t="shared" si="27"/>
        <v>0.53684723895644471</v>
      </c>
      <c r="AB24" s="332">
        <f t="shared" si="28"/>
        <v>41</v>
      </c>
    </row>
    <row r="25" spans="1:28">
      <c r="N25" s="21" t="s">
        <v>285</v>
      </c>
      <c r="O25" s="294">
        <f t="shared" si="21"/>
        <v>20900</v>
      </c>
      <c r="P25" s="295">
        <f t="shared" si="22"/>
        <v>0.46444444444444444</v>
      </c>
      <c r="Q25" s="311">
        <f t="shared" si="23"/>
        <v>0.7721995636561888</v>
      </c>
      <c r="S25" s="332">
        <f t="shared" si="24"/>
        <v>32</v>
      </c>
      <c r="W25" s="21" t="s">
        <v>252</v>
      </c>
      <c r="X25" s="294">
        <f t="shared" si="25"/>
        <v>18000</v>
      </c>
      <c r="Y25" s="295">
        <f t="shared" si="26"/>
        <v>0.4</v>
      </c>
      <c r="Z25" s="311">
        <f t="shared" si="27"/>
        <v>0.6520555446364461</v>
      </c>
      <c r="AB25" s="332">
        <f t="shared" si="28"/>
        <v>36</v>
      </c>
    </row>
    <row r="26" spans="1:28">
      <c r="N26" s="21" t="s">
        <v>286</v>
      </c>
      <c r="O26" s="294">
        <f t="shared" si="21"/>
        <v>25000</v>
      </c>
      <c r="P26" s="295">
        <f t="shared" si="22"/>
        <v>0.55555555555555558</v>
      </c>
      <c r="Q26" s="311">
        <f t="shared" si="23"/>
        <v>0.81158233249910716</v>
      </c>
      <c r="S26" s="332">
        <f t="shared" si="24"/>
        <v>28.5</v>
      </c>
      <c r="W26" s="21" t="s">
        <v>253</v>
      </c>
      <c r="X26" s="294">
        <f t="shared" si="25"/>
        <v>21600</v>
      </c>
      <c r="Y26" s="295">
        <f t="shared" si="26"/>
        <v>0.48</v>
      </c>
      <c r="Z26" s="311">
        <f t="shared" si="27"/>
        <v>0.70383748947659364</v>
      </c>
      <c r="AB26" s="332">
        <f t="shared" si="28"/>
        <v>33</v>
      </c>
    </row>
    <row r="27" spans="1:28">
      <c r="N27" s="21" t="s">
        <v>287</v>
      </c>
      <c r="O27" s="294">
        <f t="shared" si="21"/>
        <v>36900</v>
      </c>
      <c r="P27" s="295">
        <f t="shared" si="22"/>
        <v>0.82</v>
      </c>
      <c r="Q27" s="311">
        <f t="shared" si="23"/>
        <v>0.92020638993453896</v>
      </c>
      <c r="S27" s="332">
        <f t="shared" si="24"/>
        <v>20.5</v>
      </c>
      <c r="W27" s="21" t="s">
        <v>254</v>
      </c>
      <c r="X27" s="294">
        <f t="shared" si="25"/>
        <v>10900</v>
      </c>
      <c r="Y27" s="295">
        <f t="shared" si="26"/>
        <v>0.24222222222222223</v>
      </c>
      <c r="Z27" s="311">
        <f t="shared" si="27"/>
        <v>0.42657232051714356</v>
      </c>
      <c r="AB27" s="332">
        <f t="shared" si="28"/>
        <v>44.5</v>
      </c>
    </row>
    <row r="28" spans="1:28">
      <c r="N28" s="21" t="s">
        <v>445</v>
      </c>
      <c r="O28" s="294">
        <f t="shared" si="21"/>
        <v>22000</v>
      </c>
      <c r="P28" s="295">
        <f t="shared" si="22"/>
        <v>0.48888888888888887</v>
      </c>
      <c r="Q28" s="311">
        <f t="shared" si="23"/>
        <v>0.7521655520458419</v>
      </c>
      <c r="S28" s="332">
        <f t="shared" si="24"/>
        <v>31.5</v>
      </c>
      <c r="W28" s="21" t="s">
        <v>255</v>
      </c>
      <c r="X28" s="294">
        <f t="shared" si="25"/>
        <v>13600</v>
      </c>
      <c r="Y28" s="295">
        <f t="shared" si="26"/>
        <v>0.30222222222222223</v>
      </c>
      <c r="Z28" s="311">
        <f t="shared" si="27"/>
        <v>0.52077766746266096</v>
      </c>
      <c r="AB28" s="332">
        <f t="shared" si="28"/>
        <v>41</v>
      </c>
    </row>
    <row r="29" spans="1:28">
      <c r="N29" s="21" t="s">
        <v>245</v>
      </c>
      <c r="O29" s="294">
        <f t="shared" si="21"/>
        <v>25000</v>
      </c>
      <c r="P29" s="295">
        <f t="shared" si="22"/>
        <v>0.55555555555555558</v>
      </c>
      <c r="Q29" s="311">
        <f t="shared" si="23"/>
        <v>0.81162985766161333</v>
      </c>
      <c r="S29" s="332">
        <f t="shared" si="24"/>
        <v>28.5</v>
      </c>
      <c r="W29" s="21" t="s">
        <v>256</v>
      </c>
      <c r="X29" s="294">
        <f t="shared" si="25"/>
        <v>18000</v>
      </c>
      <c r="Y29" s="295">
        <f t="shared" si="26"/>
        <v>0.4</v>
      </c>
      <c r="Z29" s="311">
        <f t="shared" si="27"/>
        <v>0.65405877371063903</v>
      </c>
      <c r="AA29" s="38"/>
      <c r="AB29" s="332">
        <f t="shared" si="28"/>
        <v>36</v>
      </c>
    </row>
    <row r="30" spans="1:28">
      <c r="N30" s="21" t="s">
        <v>246</v>
      </c>
      <c r="O30" s="294">
        <f t="shared" si="21"/>
        <v>28600</v>
      </c>
      <c r="P30" s="295">
        <f t="shared" si="22"/>
        <v>0.63555555555555554</v>
      </c>
      <c r="Q30" s="311">
        <f t="shared" si="23"/>
        <v>0.8684696435214585</v>
      </c>
      <c r="S30" s="332">
        <f t="shared" si="24"/>
        <v>25</v>
      </c>
      <c r="W30" s="21" t="s">
        <v>365</v>
      </c>
      <c r="X30" s="294">
        <f t="shared" si="25"/>
        <v>147200</v>
      </c>
      <c r="Y30" s="295">
        <f t="shared" si="26"/>
        <v>3.2711111111111113</v>
      </c>
      <c r="Z30" s="311">
        <f t="shared" si="27"/>
        <v>1</v>
      </c>
      <c r="AA30" s="296">
        <f>IF(Z30&gt;1,3,3*Z30)</f>
        <v>3</v>
      </c>
      <c r="AB30" s="332">
        <f>HLOOKUP(W30,balance,200, TRUE)</f>
        <v>20.5</v>
      </c>
    </row>
    <row r="31" spans="1:28">
      <c r="N31" s="21" t="s">
        <v>247</v>
      </c>
      <c r="O31" s="294">
        <f t="shared" si="21"/>
        <v>36000</v>
      </c>
      <c r="P31" s="295">
        <f t="shared" si="22"/>
        <v>0.8</v>
      </c>
      <c r="Q31" s="311">
        <f t="shared" si="23"/>
        <v>0.9250135892809217</v>
      </c>
      <c r="S31" s="332">
        <f t="shared" si="24"/>
        <v>20</v>
      </c>
      <c r="W31" s="24" t="s">
        <v>372</v>
      </c>
      <c r="X31" s="297">
        <f t="shared" si="25"/>
        <v>54000</v>
      </c>
      <c r="Y31" s="298">
        <f t="shared" si="26"/>
        <v>1.2</v>
      </c>
      <c r="Z31" s="309">
        <f t="shared" si="27"/>
        <v>0.99142528989546563</v>
      </c>
      <c r="AA31" s="127"/>
      <c r="AB31" s="333">
        <f>HLOOKUP(W31,balance,200, FALSE)</f>
        <v>7.5</v>
      </c>
    </row>
    <row r="32" spans="1:28">
      <c r="N32" s="21" t="s">
        <v>248</v>
      </c>
      <c r="O32" s="294">
        <f t="shared" si="21"/>
        <v>45200</v>
      </c>
      <c r="P32" s="295">
        <f t="shared" si="22"/>
        <v>1.0044444444444445</v>
      </c>
      <c r="Q32" s="311">
        <f t="shared" si="23"/>
        <v>0.96858518712279174</v>
      </c>
      <c r="S32" s="332">
        <f t="shared" si="24"/>
        <v>14.5</v>
      </c>
    </row>
    <row r="33" spans="14:19">
      <c r="N33" s="21" t="s">
        <v>249</v>
      </c>
      <c r="O33" s="294">
        <f t="shared" si="21"/>
        <v>54000</v>
      </c>
      <c r="P33" s="295">
        <f t="shared" si="22"/>
        <v>1.2</v>
      </c>
      <c r="Q33" s="311">
        <f t="shared" si="23"/>
        <v>0.98715159201643388</v>
      </c>
      <c r="R33" s="38"/>
      <c r="S33" s="332">
        <f t="shared" si="24"/>
        <v>12</v>
      </c>
    </row>
    <row r="34" spans="14:19">
      <c r="N34" s="21" t="s">
        <v>442</v>
      </c>
      <c r="O34" s="294">
        <f t="shared" ref="O34:O36" si="29">VLOOKUP(N34,non_table,3,FALSE)</f>
        <v>44000</v>
      </c>
      <c r="P34" s="295">
        <f t="shared" ref="P34:P36" si="30">O34/heat_load</f>
        <v>0.97777777777777775</v>
      </c>
      <c r="Q34" s="311">
        <f t="shared" ref="Q34:Q36" si="31">HLOOKUP(N34,nondisplaced,33,FALSE)</f>
        <v>0.97010944112971487</v>
      </c>
      <c r="R34" s="38"/>
      <c r="S34" s="332">
        <f t="shared" ref="S34:S36" si="32">HLOOKUP(N34,balance,200, FALSE)</f>
        <v>15</v>
      </c>
    </row>
    <row r="35" spans="14:19">
      <c r="N35" s="21" t="s">
        <v>443</v>
      </c>
      <c r="O35" s="294">
        <f t="shared" si="29"/>
        <v>52000</v>
      </c>
      <c r="P35" s="295">
        <f t="shared" si="30"/>
        <v>1.1555555555555554</v>
      </c>
      <c r="Q35" s="311">
        <f t="shared" si="31"/>
        <v>0.9916357123686439</v>
      </c>
      <c r="R35" s="38"/>
      <c r="S35" s="332">
        <f t="shared" si="32"/>
        <v>8</v>
      </c>
    </row>
    <row r="36" spans="14:19">
      <c r="N36" s="24" t="s">
        <v>444</v>
      </c>
      <c r="O36" s="297">
        <f t="shared" si="29"/>
        <v>66000</v>
      </c>
      <c r="P36" s="298">
        <f t="shared" si="30"/>
        <v>1.4666666666666666</v>
      </c>
      <c r="Q36" s="309">
        <f t="shared" si="31"/>
        <v>0.99585184535238214</v>
      </c>
      <c r="R36" s="127"/>
      <c r="S36" s="333">
        <f t="shared" si="32"/>
        <v>4.5</v>
      </c>
    </row>
  </sheetData>
  <sheetProtection password="D9D7" sheet="1" objects="1" scenarios="1" selectLockedCell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94</vt:i4>
      </vt:variant>
    </vt:vector>
  </HeadingPairs>
  <TitlesOfParts>
    <vt:vector size="106" baseType="lpstr">
      <vt:lpstr>Energy Estimator</vt:lpstr>
      <vt:lpstr>Calcs</vt:lpstr>
      <vt:lpstr>Bills</vt:lpstr>
      <vt:lpstr>data</vt:lpstr>
      <vt:lpstr>Multiple_Non Hyper</vt:lpstr>
      <vt:lpstr>Multiple_Hyper Ht</vt:lpstr>
      <vt:lpstr>Weather</vt:lpstr>
      <vt:lpstr>$ per Btu</vt:lpstr>
      <vt:lpstr>Displaced</vt:lpstr>
      <vt:lpstr>Multiplier (2)</vt:lpstr>
      <vt:lpstr>Temp Corr</vt:lpstr>
      <vt:lpstr>Test PLR</vt:lpstr>
      <vt:lpstr>balance</vt:lpstr>
      <vt:lpstr>binavg</vt:lpstr>
      <vt:lpstr>btu</vt:lpstr>
      <vt:lpstr>buh</vt:lpstr>
      <vt:lpstr>BUT</vt:lpstr>
      <vt:lpstr>CA</vt:lpstr>
      <vt:lpstr>CO</vt:lpstr>
      <vt:lpstr>cool_load</vt:lpstr>
      <vt:lpstr>cool_percent</vt:lpstr>
      <vt:lpstr>cool_type</vt:lpstr>
      <vt:lpstr>cooling</vt:lpstr>
      <vt:lpstr>cooling_select</vt:lpstr>
      <vt:lpstr>cop_17</vt:lpstr>
      <vt:lpstr>cop_47</vt:lpstr>
      <vt:lpstr>cop_5</vt:lpstr>
      <vt:lpstr>cop_95</vt:lpstr>
      <vt:lpstr>cop_seer</vt:lpstr>
      <vt:lpstr>CT</vt:lpstr>
      <vt:lpstr>data</vt:lpstr>
      <vt:lpstr>DE</vt:lpstr>
      <vt:lpstr>eff</vt:lpstr>
      <vt:lpstr>elect_rate</vt:lpstr>
      <vt:lpstr>exist_heat</vt:lpstr>
      <vt:lpstr>FL</vt:lpstr>
      <vt:lpstr>fuel</vt:lpstr>
      <vt:lpstr>fuel_select</vt:lpstr>
      <vt:lpstr>GA</vt:lpstr>
      <vt:lpstr>gas_rate</vt:lpstr>
      <vt:lpstr>H2i_cool</vt:lpstr>
      <vt:lpstr>h2i_heat</vt:lpstr>
      <vt:lpstr>heat_load</vt:lpstr>
      <vt:lpstr>heat_pump</vt:lpstr>
      <vt:lpstr>HP_BU</vt:lpstr>
      <vt:lpstr>HP_T</vt:lpstr>
      <vt:lpstr>IA</vt:lpstr>
      <vt:lpstr>ID</vt:lpstr>
      <vt:lpstr>IL</vt:lpstr>
      <vt:lpstr>IN</vt:lpstr>
      <vt:lpstr>KS</vt:lpstr>
      <vt:lpstr>KY</vt:lpstr>
      <vt:lpstr>loadcorr</vt:lpstr>
      <vt:lpstr>loc</vt:lpstr>
      <vt:lpstr>Local</vt:lpstr>
      <vt:lpstr>MA</vt:lpstr>
      <vt:lpstr>mbtu</vt:lpstr>
      <vt:lpstr>mbtu_cool</vt:lpstr>
      <vt:lpstr>mbtu_heat</vt:lpstr>
      <vt:lpstr>MBTUHP</vt:lpstr>
      <vt:lpstr>ME</vt:lpstr>
      <vt:lpstr>me_unit</vt:lpstr>
      <vt:lpstr>MI</vt:lpstr>
      <vt:lpstr>MN</vt:lpstr>
      <vt:lpstr>MO</vt:lpstr>
      <vt:lpstr>MT</vt:lpstr>
      <vt:lpstr>NC</vt:lpstr>
      <vt:lpstr>ND</vt:lpstr>
      <vt:lpstr>NE</vt:lpstr>
      <vt:lpstr>NH</vt:lpstr>
      <vt:lpstr>NJ</vt:lpstr>
      <vt:lpstr>NM</vt:lpstr>
      <vt:lpstr>non_table</vt:lpstr>
      <vt:lpstr>nondisplaced</vt:lpstr>
      <vt:lpstr>NY</vt:lpstr>
      <vt:lpstr>OH</vt:lpstr>
      <vt:lpstr>oil_rate</vt:lpstr>
      <vt:lpstr>OR</vt:lpstr>
      <vt:lpstr>PA</vt:lpstr>
      <vt:lpstr>per_btu</vt:lpstr>
      <vt:lpstr>pro_rate</vt:lpstr>
      <vt:lpstr>rated_cool</vt:lpstr>
      <vt:lpstr>rated_heat</vt:lpstr>
      <vt:lpstr>RI</vt:lpstr>
      <vt:lpstr>SD</vt:lpstr>
      <vt:lpstr>SDT</vt:lpstr>
      <vt:lpstr>St</vt:lpstr>
      <vt:lpstr>state</vt:lpstr>
      <vt:lpstr>system_loss_selected</vt:lpstr>
      <vt:lpstr>system_loss_table</vt:lpstr>
      <vt:lpstr>top</vt:lpstr>
      <vt:lpstr>total_value</vt:lpstr>
      <vt:lpstr>totals</vt:lpstr>
      <vt:lpstr>TX</vt:lpstr>
      <vt:lpstr>type</vt:lpstr>
      <vt:lpstr>unit</vt:lpstr>
      <vt:lpstr>unit_select</vt:lpstr>
      <vt:lpstr>VT</vt:lpstr>
      <vt:lpstr>WA</vt:lpstr>
      <vt:lpstr>WDT</vt:lpstr>
      <vt:lpstr>weather</vt:lpstr>
      <vt:lpstr>WI</vt:lpstr>
      <vt:lpstr>year</vt:lpstr>
      <vt:lpstr>year_cooling</vt:lpstr>
      <vt:lpstr>year_heating</vt:lpstr>
      <vt:lpstr>yes_no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Pacetti</dc:creator>
  <cp:lastModifiedBy>dtuser</cp:lastModifiedBy>
  <cp:lastPrinted>2016-07-19T19:31:09Z</cp:lastPrinted>
  <dcterms:created xsi:type="dcterms:W3CDTF">2014-12-10T20:24:27Z</dcterms:created>
  <dcterms:modified xsi:type="dcterms:W3CDTF">2017-10-12T12:33:45Z</dcterms:modified>
</cp:coreProperties>
</file>